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2315" activeTab="0"/>
  </bookViews>
  <sheets>
    <sheet name="титульный" sheetId="1" r:id="rId1"/>
    <sheet name="Раздел 3 (2019.)" sheetId="2" r:id="rId2"/>
    <sheet name="Раздел 4" sheetId="3" r:id="rId3"/>
    <sheet name="Раздел 5 подпись" sheetId="4" r:id="rId4"/>
    <sheet name="Раздел II обоснование (2019.) " sheetId="5" r:id="rId5"/>
    <sheet name="Раздел II обоснование ПДД" sheetId="6" r:id="rId6"/>
    <sheet name="Раздел 3 (2020.)" sheetId="7" r:id="rId7"/>
    <sheet name="Раздел II обоснование (2020) " sheetId="8" r:id="rId8"/>
    <sheet name="Раздел IIобоснованиеПДД (2020.)" sheetId="9" r:id="rId9"/>
    <sheet name="Раздел 3 (2021.) " sheetId="10" r:id="rId10"/>
    <sheet name="Раздел II обоснование (2021)" sheetId="11" r:id="rId11"/>
    <sheet name="Раздел IIобоснованиеПДД (2021)" sheetId="12" r:id="rId12"/>
    <sheet name="Сведения по иным" sheetId="13" r:id="rId13"/>
  </sheets>
  <definedNames>
    <definedName name="Par917" localSheetId="12">'Сведения по иным'!$A$42</definedName>
    <definedName name="Par918" localSheetId="12">'Сведения по иным'!$B$42</definedName>
    <definedName name="Par919" localSheetId="12">'Сведения по иным'!$C$42</definedName>
    <definedName name="Par920" localSheetId="12">'Сведения по иным'!$D$42</definedName>
    <definedName name="Par921" localSheetId="12">'Сведения по иным'!$E$42</definedName>
    <definedName name="Par922" localSheetId="12">'Сведения по иным'!$F$42</definedName>
    <definedName name="Par923" localSheetId="12">'Сведения по иным'!$G$42</definedName>
    <definedName name="Par924" localSheetId="12">'Сведения по иным'!$H$42</definedName>
    <definedName name="Par925" localSheetId="12">'Сведения по иным'!$I$42</definedName>
    <definedName name="Par926" localSheetId="12">'Сведения по иным'!$J$42</definedName>
    <definedName name="Z_91D40EB3_3AB1_43EC_9BD4_811B569873C7_.wvu.PrintArea" localSheetId="4" hidden="1">'Раздел II обоснование (2019.) '!$A$1:$K$164</definedName>
    <definedName name="Z_91D40EB3_3AB1_43EC_9BD4_811B569873C7_.wvu.PrintArea" localSheetId="7" hidden="1">'Раздел II обоснование (2020) '!$A$1:$K$163</definedName>
    <definedName name="Z_91D40EB3_3AB1_43EC_9BD4_811B569873C7_.wvu.PrintArea" localSheetId="10" hidden="1">'Раздел II обоснование (2021)'!$A$1:$K$163</definedName>
    <definedName name="Z_91D40EB3_3AB1_43EC_9BD4_811B569873C7_.wvu.PrintArea" localSheetId="5" hidden="1">'Раздел II обоснование ПДД'!$A$1:$K$161</definedName>
    <definedName name="Z_91D40EB3_3AB1_43EC_9BD4_811B569873C7_.wvu.PrintArea" localSheetId="8" hidden="1">'Раздел IIобоснованиеПДД (2020.)'!$A$1:$K$157</definedName>
    <definedName name="Z_91D40EB3_3AB1_43EC_9BD4_811B569873C7_.wvu.PrintArea" localSheetId="11" hidden="1">'Раздел IIобоснованиеПДД (2021)'!$A$1:$K$157</definedName>
    <definedName name="Z_FB496A58_F583_46B2_B046_A2748948A2F7_.wvu.PrintArea" localSheetId="4" hidden="1">'Раздел II обоснование (2019.) '!$A$1:$J$164</definedName>
    <definedName name="Z_FB496A58_F583_46B2_B046_A2748948A2F7_.wvu.PrintArea" localSheetId="7" hidden="1">'Раздел II обоснование (2020) '!$A$1:$J$163</definedName>
    <definedName name="Z_FB496A58_F583_46B2_B046_A2748948A2F7_.wvu.PrintArea" localSheetId="10" hidden="1">'Раздел II обоснование (2021)'!$A$1:$J$163</definedName>
    <definedName name="Z_FB496A58_F583_46B2_B046_A2748948A2F7_.wvu.PrintArea" localSheetId="5" hidden="1">'Раздел II обоснование ПДД'!$A$1:$J$161</definedName>
    <definedName name="Z_FB496A58_F583_46B2_B046_A2748948A2F7_.wvu.PrintArea" localSheetId="8" hidden="1">'Раздел IIобоснованиеПДД (2020.)'!$A$1:$J$157</definedName>
    <definedName name="Z_FB496A58_F583_46B2_B046_A2748948A2F7_.wvu.PrintArea" localSheetId="11" hidden="1">'Раздел IIобоснованиеПДД (2021)'!$A$1:$J$157</definedName>
    <definedName name="_xlnm.Print_Titles" localSheetId="1">'Раздел 3 (2019.)'!$3:$10</definedName>
    <definedName name="_xlnm.Print_Titles" localSheetId="6">'Раздел 3 (2020.)'!$3:$10</definedName>
    <definedName name="_xlnm.Print_Titles" localSheetId="9">'Раздел 3 (2021.) '!$3:$10</definedName>
    <definedName name="_xlnm.Print_Titles" localSheetId="2">'Раздел 4'!$3:$10</definedName>
    <definedName name="_xlnm.Print_Area" localSheetId="1">'Раздел 3 (2019.)'!$A$1:$I$62</definedName>
    <definedName name="_xlnm.Print_Area" localSheetId="6">'Раздел 3 (2020.)'!$A$1:$I$62</definedName>
    <definedName name="_xlnm.Print_Area" localSheetId="9">'Раздел 3 (2021.) '!$A$1:$I$62</definedName>
    <definedName name="_xlnm.Print_Area" localSheetId="2">'Раздел 4'!$A$1:$L$53</definedName>
    <definedName name="_xlnm.Print_Area" localSheetId="3">'Раздел 5 подпись'!$A$1:$J$24</definedName>
    <definedName name="_xlnm.Print_Area" localSheetId="4">'Раздел II обоснование (2019.) '!$A$1:$J$172</definedName>
    <definedName name="_xlnm.Print_Area" localSheetId="7">'Раздел II обоснование (2020) '!$A$1:$J$171</definedName>
    <definedName name="_xlnm.Print_Area" localSheetId="10">'Раздел II обоснование (2021)'!$A$1:$J$171</definedName>
    <definedName name="_xlnm.Print_Area" localSheetId="5">'Раздел II обоснование ПДД'!$A$1:$J$165</definedName>
    <definedName name="_xlnm.Print_Area" localSheetId="8">'Раздел IIобоснованиеПДД (2020.)'!$A$1:$J$165</definedName>
    <definedName name="_xlnm.Print_Area" localSheetId="11">'Раздел IIобоснованиеПДД (2021)'!$A$1:$J$165</definedName>
    <definedName name="_xlnm.Print_Area" localSheetId="12">'Сведения по иным'!$A$1:$Q$64</definedName>
    <definedName name="_xlnm.Print_Area" localSheetId="0">'титульный'!$A$1:$G$85</definedName>
  </definedNames>
  <calcPr fullCalcOnLoad="1"/>
</workbook>
</file>

<file path=xl/comments2.xml><?xml version="1.0" encoding="utf-8"?>
<comments xmlns="http://schemas.openxmlformats.org/spreadsheetml/2006/main">
  <authors>
    <author>ITsekhanskaya</author>
  </authors>
  <commentList>
    <comment ref="E57" authorId="0">
      <text>
        <r>
          <rPr>
            <b/>
            <sz val="9"/>
            <rFont val="Tahoma"/>
            <family val="2"/>
          </rPr>
          <t>ITsekhanskaya:</t>
        </r>
        <r>
          <rPr>
            <sz val="9"/>
            <rFont val="Tahoma"/>
            <family val="2"/>
          </rPr>
          <t xml:space="preserve">
остаток на начало года
</t>
        </r>
      </text>
    </comment>
    <comment ref="E54" authorId="0">
      <text>
        <r>
          <rPr>
            <b/>
            <sz val="9"/>
            <rFont val="Tahoma"/>
            <family val="2"/>
          </rPr>
          <t>ITsekhanskaya:</t>
        </r>
        <r>
          <rPr>
            <sz val="9"/>
            <rFont val="Tahoma"/>
            <family val="2"/>
          </rPr>
          <t xml:space="preserve">
остаток на начало года
</t>
        </r>
      </text>
    </comment>
    <comment ref="H59" authorId="0">
      <text>
        <r>
          <rPr>
            <b/>
            <sz val="9"/>
            <rFont val="Tahoma"/>
            <family val="2"/>
          </rPr>
          <t>ITsekhanskaya:</t>
        </r>
        <r>
          <rPr>
            <sz val="9"/>
            <rFont val="Tahoma"/>
            <family val="2"/>
          </rPr>
          <t xml:space="preserve">
остаток на начало года
</t>
        </r>
      </text>
    </comment>
  </commentList>
</comments>
</file>

<file path=xl/comments3.xml><?xml version="1.0" encoding="utf-8"?>
<comments xmlns="http://schemas.openxmlformats.org/spreadsheetml/2006/main">
  <authors>
    <author>ITsekhanskaya</author>
  </authors>
  <commentList>
    <comment ref="G47" authorId="0">
      <text>
        <r>
          <rPr>
            <b/>
            <sz val="9"/>
            <rFont val="Tahoma"/>
            <family val="0"/>
          </rPr>
          <t>ITsekhanskaya:</t>
        </r>
        <r>
          <rPr>
            <sz val="9"/>
            <rFont val="Tahoma"/>
            <family val="0"/>
          </rPr>
          <t xml:space="preserve">
130 000 иные
</t>
        </r>
      </text>
    </comment>
    <comment ref="G29" authorId="0">
      <text>
        <r>
          <rPr>
            <b/>
            <sz val="9"/>
            <rFont val="Tahoma"/>
            <family val="2"/>
          </rPr>
          <t>ITsekhanskaya:</t>
        </r>
        <r>
          <rPr>
            <sz val="9"/>
            <rFont val="Tahoma"/>
            <family val="2"/>
          </rPr>
          <t xml:space="preserve">
остаток на начало года
</t>
        </r>
      </text>
    </comment>
    <comment ref="G17" authorId="0">
      <text>
        <r>
          <rPr>
            <b/>
            <sz val="9"/>
            <rFont val="Tahoma"/>
            <family val="2"/>
          </rPr>
          <t>ITsekhanskaya:</t>
        </r>
        <r>
          <rPr>
            <sz val="9"/>
            <rFont val="Tahoma"/>
            <family val="2"/>
          </rPr>
          <t xml:space="preserve">
остаток на начало года</t>
        </r>
      </text>
    </comment>
  </commentList>
</comments>
</file>

<file path=xl/comments5.xml><?xml version="1.0" encoding="utf-8"?>
<comments xmlns="http://schemas.openxmlformats.org/spreadsheetml/2006/main">
  <authors>
    <author>ITsekhanskaya</author>
  </authors>
  <commentList>
    <comment ref="G104" authorId="0">
      <text>
        <r>
          <rPr>
            <b/>
            <sz val="9"/>
            <rFont val="Tahoma"/>
            <family val="0"/>
          </rPr>
          <t>ITsekhanskaya:</t>
        </r>
        <r>
          <rPr>
            <sz val="9"/>
            <rFont val="Tahoma"/>
            <family val="0"/>
          </rPr>
          <t xml:space="preserve">
342891,66 остаток на л. сч (01.01.2018г.)</t>
        </r>
      </text>
    </comment>
  </commentList>
</comments>
</file>

<file path=xl/sharedStrings.xml><?xml version="1.0" encoding="utf-8"?>
<sst xmlns="http://schemas.openxmlformats.org/spreadsheetml/2006/main" count="2068" uniqueCount="461">
  <si>
    <t>N п/п</t>
  </si>
  <si>
    <t>Наименование показателя</t>
  </si>
  <si>
    <t>Сумма, рублей</t>
  </si>
  <si>
    <t>Нефинансовые активы, всего:</t>
  </si>
  <si>
    <t>из них: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</si>
  <si>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</si>
  <si>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</si>
  <si>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</si>
  <si>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</si>
  <si>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</si>
  <si>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</si>
  <si>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</si>
  <si>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</si>
  <si>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задолженность, всего:</t>
  </si>
  <si>
    <t>дебиторская задолженность по доходам</t>
  </si>
  <si>
    <t>дебиторская задолженность по расходам</t>
  </si>
  <si>
    <t>иная дебиторская задолженность</t>
  </si>
  <si>
    <t>Обязательства, всего:</t>
  </si>
  <si>
    <t>долговые обязательства</t>
  </si>
  <si>
    <t>кредиторская задолженность, всего:</t>
  </si>
  <si>
    <t>кредиторская задолженность за счет субсидии на финансовое обеспечение выполнения муниципального задания</t>
  </si>
  <si>
    <t>кредиторская задолженность за счет поступлений от оказания услуг (выполнения работ) на платной основе и от иной приносящей доход деятельности</t>
  </si>
  <si>
    <t>в том числе:</t>
  </si>
  <si>
    <t>просроченная кредиторская задолженность</t>
  </si>
  <si>
    <t>II. Показатели финансового состояния муниципального учреждения (подразделения)</t>
  </si>
  <si>
    <t>(последняя отчетная дата)</t>
  </si>
  <si>
    <t>I. Сведения о деятельности муниципального учреждения (подразделения)</t>
  </si>
  <si>
    <t>1.3. Перечень услуг (работ), относящихся в соответствии с уставом муниципального учреждения (положением подразделения) к его основным видам деятельности, предоставление которых для физических и юридических лиц осуществляется в том числе за плату:</t>
  </si>
  <si>
    <t xml:space="preserve">                                                  УТВЕРЖДАЮ</t>
  </si>
  <si>
    <t xml:space="preserve">                                         (подпись, расшифровка подписи)</t>
  </si>
  <si>
    <t xml:space="preserve">                                          "___" _____________ 20__ г.</t>
  </si>
  <si>
    <t>адрес фактического местонахождения учреждения (подразделения)</t>
  </si>
  <si>
    <t>Коды</t>
  </si>
  <si>
    <t>Дата</t>
  </si>
  <si>
    <t>по ОКПО</t>
  </si>
  <si>
    <t>Управление образования администрации Петропавловск-Камчатского городского округа</t>
  </si>
  <si>
    <t>ИНН</t>
  </si>
  <si>
    <t>КПП</t>
  </si>
  <si>
    <t>единица измерения по ОКЕИ</t>
  </si>
  <si>
    <t>код по реестру участников бюджетного процесса, а также юридических лиц, не являющихся участниками бюджетного процесса</t>
  </si>
  <si>
    <t>Приложение 1</t>
  </si>
  <si>
    <t>Наименование показателя &lt;*&gt;</t>
  </si>
  <si>
    <t>Код строки</t>
  </si>
  <si>
    <t>Код по бюджетной классификации Российской Федерации</t>
  </si>
  <si>
    <t>Объем финансового обеспечения, рублей (с точностью до двух знаков после запятой - 0,00)</t>
  </si>
  <si>
    <t>Всего</t>
  </si>
  <si>
    <t>Субсидия на выполнение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</si>
  <si>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</si>
  <si>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</si>
  <si>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</si>
  <si>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</si>
  <si>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Остаток средств на начало года</t>
  </si>
  <si>
    <t>X</t>
  </si>
  <si>
    <t>Поступления от доходов всего:</t>
  </si>
  <si>
    <t>от использования имущества, находящегося в муниципальной собственности и переданного в аренду</t>
  </si>
  <si>
    <t>от оказания услуг (выполнения работ)</t>
  </si>
  <si>
    <t>из них</t>
  </si>
  <si>
    <t>от поступлений субсидий на финансовое обеспечение выполнения муниципального задания</t>
  </si>
  <si>
    <t>от оказания услуг (выполнения работ) на платной основе</t>
  </si>
  <si>
    <t>от образовательной деятельности</t>
  </si>
  <si>
    <t>от прочих видов деятельности</t>
  </si>
  <si>
    <t>от штрафов, пеней и иных сумм принудительного изъятия</t>
  </si>
  <si>
    <t>иные субсидии, предоставленные из бюджета</t>
  </si>
  <si>
    <t>прочие доходы</t>
  </si>
  <si>
    <t>Выплаты по расходам, всего:</t>
  </si>
  <si>
    <t>выплаты работникам учреждения</t>
  </si>
  <si>
    <t>фонд оплаты труда</t>
  </si>
  <si>
    <t>иные выплаты работникам учреждения,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</si>
  <si>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</si>
  <si>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социальные и иные выплаты населению</t>
  </si>
  <si>
    <t>пособия, компенсации и иные социальные выплаты гражданам, кроме публичных нормативных обязательств</t>
  </si>
  <si>
    <t>уплата налогов, сборов и иных платежей</t>
  </si>
  <si>
    <t xml:space="preserve"> земельный налог</t>
  </si>
  <si>
    <t>уплата прочих налогов и сборов</t>
  </si>
  <si>
    <t>уплата иных платежей</t>
  </si>
  <si>
    <t>капитальные вложения в объекты муниципальной собственности</t>
  </si>
  <si>
    <t>капитальные вложения на приобретение объектов недвижимого имущества муниципальными учреждениями</t>
  </si>
  <si>
    <t>капитальные вложения на строительство объектов недвижимого имущества муниципальными учреждениями</t>
  </si>
  <si>
    <t>закупка товаров, работ, услуг</t>
  </si>
  <si>
    <t>закупка товаров, работ, услуг в целях капитального ремонта муниципального имущества</t>
  </si>
  <si>
    <t>прочая закупка товаров, работ и услуг для обеспечения муниципальных нужд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</si>
  <si>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</si>
  <si>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</si>
  <si>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</si>
  <si>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</si>
  <si>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</si>
  <si>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</si>
  <si>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</si>
  <si>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</si>
  <si>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Поступление финансовых активов, всего</t>
  </si>
  <si>
    <t>Выбытие финансовых активов, всего</t>
  </si>
  <si>
    <t>Остаток средств на конец года</t>
  </si>
  <si>
    <t xml:space="preserve">налог на имущество </t>
  </si>
  <si>
    <t>III. Показатели по поступлениям, выплатам муниципального учреждения (подразделения)</t>
  </si>
  <si>
    <t>Таблица 2</t>
  </si>
  <si>
    <t>Таблица 1</t>
  </si>
  <si>
    <t>Год начала закупки</t>
  </si>
  <si>
    <t>Сумма выплат по расходам на закупку товаров, работ и услуг, рублей (с точностью до двух знаков после запятой - 0,00)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</si>
  <si>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</si>
  <si>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</si>
  <si>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</si>
  <si>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</si>
  <si>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</si>
  <si>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</si>
  <si>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>IV. Показатели выплат по расходам на закупку товаров, работ, услуг муниципального учреждения (подразделения</t>
  </si>
  <si>
    <t>Таблица 2.1</t>
  </si>
  <si>
    <t>Сумма</t>
  </si>
  <si>
    <t>(руб., с точностью до двух знаков после запятой - 0,00)</t>
  </si>
  <si>
    <t>Поступление</t>
  </si>
  <si>
    <t>Выбытие</t>
  </si>
  <si>
    <t>(очередной финансовый год)</t>
  </si>
  <si>
    <t>Таблица 3</t>
  </si>
  <si>
    <t xml:space="preserve">    </t>
  </si>
  <si>
    <t xml:space="preserve">                                                            </t>
  </si>
  <si>
    <t>М.П.</t>
  </si>
  <si>
    <t xml:space="preserve">Исполнитель                </t>
  </si>
  <si>
    <t xml:space="preserve"> (подпись)                      (расшифровка подписи)</t>
  </si>
  <si>
    <t>(подпись)                    (расшифровка подписи)</t>
  </si>
  <si>
    <t xml:space="preserve">                                   </t>
  </si>
  <si>
    <t>Приложение 2</t>
  </si>
  <si>
    <r>
      <t xml:space="preserve">к Порядку </t>
    </r>
    <r>
      <rPr>
        <sz val="13"/>
        <color indexed="8"/>
        <rFont val="Times New Roman"/>
        <family val="1"/>
      </rPr>
      <t>составления и утверждения</t>
    </r>
  </si>
  <si>
    <t xml:space="preserve"> плана финансово-хозяйственной</t>
  </si>
  <si>
    <t xml:space="preserve"> деятельности муниципальных бюджетных</t>
  </si>
  <si>
    <t xml:space="preserve"> и автономных учреждений, находящихся</t>
  </si>
  <si>
    <t xml:space="preserve"> в ведении Управления образования</t>
  </si>
  <si>
    <t xml:space="preserve"> администрации Петропавловск-Камчатского</t>
  </si>
  <si>
    <t xml:space="preserve"> городского округа</t>
  </si>
  <si>
    <t>1. Расчеты (обоснования) выплат персоналу (строка 015)</t>
  </si>
  <si>
    <t>1.1. Расчеты (обоснования) расходов на оплату труда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</si>
  <si>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</si>
  <si>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</si>
  <si>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</si>
  <si>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</si>
  <si>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</si>
  <si>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r>
      <t>Фонд оплаты труда в год, руб. (</t>
    </r>
    <r>
      <rPr>
        <sz val="14"/>
        <color indexed="12"/>
        <rFont val="Times New Roman"/>
        <family val="1"/>
      </rPr>
      <t>гр. 3</t>
    </r>
    <r>
      <rPr>
        <sz val="14"/>
        <color indexed="8"/>
        <rFont val="Times New Roman"/>
        <family val="1"/>
      </rPr>
      <t xml:space="preserve"> x </t>
    </r>
    <r>
      <rPr>
        <sz val="14"/>
        <color indexed="12"/>
        <rFont val="Times New Roman"/>
        <family val="1"/>
      </rPr>
      <t>гр. 4</t>
    </r>
    <r>
      <rPr>
        <sz val="14"/>
        <color indexed="8"/>
        <rFont val="Times New Roman"/>
        <family val="1"/>
      </rPr>
      <t xml:space="preserve"> x (1 + </t>
    </r>
    <r>
      <rPr>
        <sz val="14"/>
        <color indexed="12"/>
        <rFont val="Times New Roman"/>
        <family val="1"/>
      </rPr>
      <t>гр. 8</t>
    </r>
    <r>
      <rPr>
        <sz val="14"/>
        <color indexed="8"/>
        <rFont val="Times New Roman"/>
        <family val="1"/>
      </rPr>
      <t xml:space="preserve"> / 100) x </t>
    </r>
    <r>
      <rPr>
        <sz val="14"/>
        <color indexed="12"/>
        <rFont val="Times New Roman"/>
        <family val="1"/>
      </rPr>
      <t>гр. 9</t>
    </r>
    <r>
      <rPr>
        <sz val="14"/>
        <color indexed="8"/>
        <rFont val="Times New Roman"/>
        <family val="1"/>
      </rPr>
      <t xml:space="preserve"> x 12)</t>
    </r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</si>
  <si>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</si>
  <si>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</si>
  <si>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</si>
  <si>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</si>
  <si>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Итого:</t>
  </si>
  <si>
    <t>x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</si>
  <si>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</si>
  <si>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</si>
  <si>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</si>
  <si>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</si>
  <si>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r>
      <t>Сумма, руб. (</t>
    </r>
    <r>
      <rPr>
        <sz val="14"/>
        <color indexed="12"/>
        <rFont val="Times New Roman"/>
        <family val="1"/>
      </rPr>
      <t>гр. 3</t>
    </r>
    <r>
      <rPr>
        <sz val="14"/>
        <color indexed="8"/>
        <rFont val="Times New Roman"/>
        <family val="1"/>
      </rPr>
      <t xml:space="preserve"> x </t>
    </r>
    <r>
      <rPr>
        <sz val="14"/>
        <color indexed="12"/>
        <rFont val="Times New Roman"/>
        <family val="1"/>
      </rPr>
      <t>гр. 4</t>
    </r>
    <r>
      <rPr>
        <sz val="14"/>
        <color indexed="8"/>
        <rFont val="Times New Roman"/>
        <family val="1"/>
      </rPr>
      <t xml:space="preserve"> x </t>
    </r>
    <r>
      <rPr>
        <sz val="14"/>
        <color indexed="12"/>
        <rFont val="Times New Roman"/>
        <family val="1"/>
      </rPr>
      <t>гр. 5</t>
    </r>
    <r>
      <rPr>
        <sz val="14"/>
        <color indexed="8"/>
        <rFont val="Times New Roman"/>
        <family val="1"/>
      </rPr>
      <t>)</t>
    </r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</si>
  <si>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</si>
  <si>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</si>
  <si>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</si>
  <si>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</si>
  <si>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</si>
  <si>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</si>
  <si>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</si>
  <si>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1.1.</t>
  </si>
  <si>
    <t>по ставке 22,0%</t>
  </si>
  <si>
    <t>1.2.</t>
  </si>
  <si>
    <t>по ставке 10,0%</t>
  </si>
  <si>
    <t>Страховые взносы в Фонд социального страхования Российской Федерации, всего</t>
  </si>
  <si>
    <t>Страховые взносы в Федеральный фонд обязательного медицинского страхования, всего (по ставке 5,1%)</t>
  </si>
  <si>
    <t>Размер одной выплаты, руб.</t>
  </si>
  <si>
    <t>Количество выплат в год</t>
  </si>
  <si>
    <r>
      <t>Общая сумма выплат, руб. (</t>
    </r>
    <r>
      <rPr>
        <sz val="14"/>
        <color indexed="12"/>
        <rFont val="Times New Roman"/>
        <family val="1"/>
      </rPr>
      <t>гр. 3</t>
    </r>
    <r>
      <rPr>
        <sz val="14"/>
        <color indexed="8"/>
        <rFont val="Times New Roman"/>
        <family val="1"/>
      </rPr>
      <t xml:space="preserve"> x </t>
    </r>
    <r>
      <rPr>
        <sz val="14"/>
        <color indexed="12"/>
        <rFont val="Times New Roman"/>
        <family val="1"/>
      </rPr>
      <t>гр. 4</t>
    </r>
    <r>
      <rPr>
        <sz val="14"/>
        <color indexed="8"/>
        <rFont val="Times New Roman"/>
        <family val="1"/>
      </rPr>
      <t>)</t>
    </r>
  </si>
  <si>
    <t>Налоговая база, руб.</t>
  </si>
  <si>
    <t>Ставка налога, %</t>
  </si>
  <si>
    <r>
      <t>Сумма исчисленного налога, подлежащего уплате, руб. (</t>
    </r>
    <r>
      <rPr>
        <sz val="14"/>
        <color indexed="12"/>
        <rFont val="Times New Roman"/>
        <family val="1"/>
      </rPr>
      <t>гр. 3</t>
    </r>
    <r>
      <rPr>
        <sz val="14"/>
        <color indexed="8"/>
        <rFont val="Times New Roman"/>
        <family val="1"/>
      </rPr>
      <t xml:space="preserve"> x </t>
    </r>
    <r>
      <rPr>
        <sz val="14"/>
        <color indexed="12"/>
        <rFont val="Times New Roman"/>
        <family val="1"/>
      </rPr>
      <t>гр. 4</t>
    </r>
    <r>
      <rPr>
        <sz val="14"/>
        <color indexed="8"/>
        <rFont val="Times New Roman"/>
        <family val="1"/>
      </rPr>
      <t xml:space="preserve"> / 100)</t>
    </r>
  </si>
  <si>
    <t>Количество номеров</t>
  </si>
  <si>
    <t>Количество платежей в год</t>
  </si>
  <si>
    <t>Стоимость за единицу, руб.</t>
  </si>
  <si>
    <t>Количество услуг перевозки</t>
  </si>
  <si>
    <t>Цена услуги перевозки, руб.</t>
  </si>
  <si>
    <r>
      <t>Сумма, руб. (</t>
    </r>
    <r>
      <rPr>
        <sz val="14"/>
        <color indexed="12"/>
        <rFont val="Times New Roman"/>
        <family val="1"/>
      </rPr>
      <t>гр. 3</t>
    </r>
    <r>
      <rPr>
        <sz val="14"/>
        <color indexed="8"/>
        <rFont val="Times New Roman"/>
        <family val="1"/>
      </rPr>
      <t xml:space="preserve"> x </t>
    </r>
    <r>
      <rPr>
        <sz val="14"/>
        <color indexed="12"/>
        <rFont val="Times New Roman"/>
        <family val="1"/>
      </rPr>
      <t>гр. 4</t>
    </r>
    <r>
      <rPr>
        <sz val="14"/>
        <color indexed="8"/>
        <rFont val="Times New Roman"/>
        <family val="1"/>
      </rPr>
      <t>)</t>
    </r>
  </si>
  <si>
    <t>Тариф (с учетом НДС), руб.</t>
  </si>
  <si>
    <t>Индексация, %</t>
  </si>
  <si>
    <r>
      <t>Сумма, руб. (</t>
    </r>
    <r>
      <rPr>
        <sz val="14"/>
        <color indexed="12"/>
        <rFont val="Times New Roman"/>
        <family val="1"/>
      </rPr>
      <t>гр. 4</t>
    </r>
    <r>
      <rPr>
        <sz val="14"/>
        <color indexed="8"/>
        <rFont val="Times New Roman"/>
        <family val="1"/>
      </rPr>
      <t xml:space="preserve"> x </t>
    </r>
    <r>
      <rPr>
        <sz val="14"/>
        <color indexed="12"/>
        <rFont val="Times New Roman"/>
        <family val="1"/>
      </rPr>
      <t>гр. 5</t>
    </r>
    <r>
      <rPr>
        <sz val="14"/>
        <color indexed="8"/>
        <rFont val="Times New Roman"/>
        <family val="1"/>
      </rPr>
      <t xml:space="preserve"> x </t>
    </r>
    <r>
      <rPr>
        <sz val="14"/>
        <color indexed="12"/>
        <rFont val="Times New Roman"/>
        <family val="1"/>
      </rPr>
      <t>гр. 6</t>
    </r>
    <r>
      <rPr>
        <sz val="14"/>
        <color indexed="8"/>
        <rFont val="Times New Roman"/>
        <family val="1"/>
      </rPr>
      <t>)</t>
    </r>
  </si>
  <si>
    <t>Количество</t>
  </si>
  <si>
    <t>Ставка арендной платы</t>
  </si>
  <si>
    <t>Стоимость с учетом НДС, руб.</t>
  </si>
  <si>
    <t>Объект</t>
  </si>
  <si>
    <t>Количество работ (услуг)</t>
  </si>
  <si>
    <t>Стоимость работ (услуг), руб.</t>
  </si>
  <si>
    <t>Количество договоров</t>
  </si>
  <si>
    <t>Стоимость услуги, руб.</t>
  </si>
  <si>
    <t>Средняя стоимость, руб.</t>
  </si>
  <si>
    <t>1.2. Расчеты (обоснования) выплат персоналу при направлении в служебные командировки</t>
  </si>
  <si>
    <t>1.3. Расчеты (обоснования) выплат персоналу по уходу за ребенком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</si>
  <si>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</si>
  <si>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2. Расчеты (обоснования) расходов на социальные и иные выплаты населению</t>
  </si>
  <si>
    <t>Код видов расходов _____________________________________________</t>
  </si>
  <si>
    <t>Источник финансового обеспечения______________________________</t>
  </si>
  <si>
    <t>3. Расчет (обоснование) расходов на уплату налогов, сборов и иных платежей</t>
  </si>
  <si>
    <t>Приложение 3</t>
  </si>
  <si>
    <t>УТВЕРЖДАЮ</t>
  </si>
  <si>
    <t>(наименование учреждения)</t>
  </si>
  <si>
    <t>________________________ ___________________</t>
  </si>
  <si>
    <t xml:space="preserve">                      (подпись)                                     (расшифровка  подписи)</t>
  </si>
  <si>
    <t xml:space="preserve">                                      "_____" ____________ 20__ г.</t>
  </si>
  <si>
    <t>СВЕДЕНИЯ</t>
  </si>
  <si>
    <t>ОБ ОПЕРАЦИЯХ С ЦЕЛЕВЫМИ СУБСИДИЯМИ, ПРЕДОСТАВЛЕННЫМИ</t>
  </si>
  <si>
    <t>МУНИЦИПАЛЬНОМУ УЧРЕЖДЕНИЮ НА 20__ Г.</t>
  </si>
  <si>
    <t>КОДЫ</t>
  </si>
  <si>
    <t>Форма по ОКУД</t>
  </si>
  <si>
    <t>Дата  предоставления предыдущих Сведений</t>
  </si>
  <si>
    <t>по ОКТМО</t>
  </si>
  <si>
    <t>Глава по БК</t>
  </si>
  <si>
    <t>по ОКЕИ</t>
  </si>
  <si>
    <t>по ОКВ</t>
  </si>
  <si>
    <t>от "___" ____________ 20___ г.</t>
  </si>
  <si>
    <t>Муниципальное учреждение (подразделение)</t>
  </si>
  <si>
    <t>_________________________</t>
  </si>
  <si>
    <t>ИНН/КПП</t>
  </si>
  <si>
    <t>Наименование бюджета</t>
  </si>
  <si>
    <t>Наименование органа, осуществляющего функции и полномочия учредителя</t>
  </si>
  <si>
    <t>Наименование органа, осуществляющего ведение лицевого счета</t>
  </si>
  <si>
    <t>Единица измерения: руб. (с точностью до второго десятичного знака)</t>
  </si>
  <si>
    <t>(Наименование иностранной валюты)</t>
  </si>
  <si>
    <t xml:space="preserve">Остаток средств на начало года     </t>
  </si>
  <si>
    <t xml:space="preserve">       </t>
  </si>
  <si>
    <t xml:space="preserve">    (наименование должности лица,  утверждающего документ)</t>
  </si>
  <si>
    <t>Наименование субсидии</t>
  </si>
  <si>
    <t>Код субсидии</t>
  </si>
  <si>
    <t>Код объекта ФАИП</t>
  </si>
  <si>
    <t>Разрешенный к использованию остаток субсидии прошлых лет на начало 20__ г.</t>
  </si>
  <si>
    <t>Суммы возврата дебиторской задолженности прошлых лет</t>
  </si>
  <si>
    <t>Планируемые</t>
  </si>
  <si>
    <t>код</t>
  </si>
  <si>
    <t>сумма</t>
  </si>
  <si>
    <t>поступления</t>
  </si>
  <si>
    <t>выплаты</t>
  </si>
  <si>
    <t xml:space="preserve">ОТМЕТКА ОРГАНА, ОСУЩЕСТВЛЯЮЩЕГО ВЕДЕНИЕ ЛИЦЕВОГО СЧЕТА, О ПРИНЯТИИ НАСТОЯЩИХ СВЕДЕНИЙ             </t>
  </si>
  <si>
    <t xml:space="preserve">Номер страницы </t>
  </si>
  <si>
    <t>_______________</t>
  </si>
  <si>
    <t xml:space="preserve">Всего страниц </t>
  </si>
  <si>
    <t>Руководитель</t>
  </si>
  <si>
    <t>___________________                       _______________________</t>
  </si>
  <si>
    <r>
      <t xml:space="preserve">  </t>
    </r>
    <r>
      <rPr>
        <sz val="10"/>
        <color indexed="8"/>
        <rFont val="Times New Roman"/>
        <family val="1"/>
      </rPr>
      <t>(подпись)                                                      (расшифровка подписи)</t>
    </r>
  </si>
  <si>
    <t xml:space="preserve">             </t>
  </si>
  <si>
    <t>Главный бухгалтер</t>
  </si>
  <si>
    <t xml:space="preserve">     Ответственный исполнитель                                    </t>
  </si>
  <si>
    <t>___________________</t>
  </si>
  <si>
    <t>___________          ____________          ____________          ___________</t>
  </si>
  <si>
    <t xml:space="preserve">     (должность)                   (подпись)                       (расшифровка подписи) (телефон)</t>
  </si>
  <si>
    <t xml:space="preserve"> (должность)              (подпись)             (расшифровка подписи) (телефон)</t>
  </si>
  <si>
    <t>"_____"__________20___г.</t>
  </si>
  <si>
    <t>(должность лица, утверждающего документ)</t>
  </si>
  <si>
    <t>наименование учреждения (подразделения)</t>
  </si>
  <si>
    <t>001</t>
  </si>
  <si>
    <t>002</t>
  </si>
  <si>
    <t>003</t>
  </si>
  <si>
    <t>004</t>
  </si>
  <si>
    <t>005</t>
  </si>
  <si>
    <t>006</t>
  </si>
  <si>
    <t xml:space="preserve"> строка  001  остатки на начало года  201.11 гр. 4-9</t>
  </si>
  <si>
    <t>в том числе: от собственности</t>
  </si>
  <si>
    <t>в графе 3 по 003-013, 039-041 указыв. Коды классификации операций сектора стр. 015-038 виды расхода</t>
  </si>
  <si>
    <t xml:space="preserve"> по строке 005 в гр 9  указывается гранты</t>
  </si>
  <si>
    <t>007</t>
  </si>
  <si>
    <t>009</t>
  </si>
  <si>
    <t>010</t>
  </si>
  <si>
    <t>011</t>
  </si>
  <si>
    <t>012</t>
  </si>
  <si>
    <t>ст 015-038 указыв. Расходы по источникам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</si>
  <si>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</si>
  <si>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</si>
  <si>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</si>
  <si>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</si>
  <si>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</si>
  <si>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</si>
  <si>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</si>
  <si>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</si>
  <si>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</si>
  <si>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</si>
  <si>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</si>
  <si>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</si>
  <si>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</si>
  <si>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</si>
  <si>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</si>
  <si>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</si>
  <si>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</si>
  <si>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</si>
  <si>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</si>
  <si>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</si>
  <si>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</si>
  <si>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</si>
  <si>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</si>
  <si>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</si>
  <si>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</si>
  <si>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</si>
  <si>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</si>
  <si>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</si>
  <si>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</si>
  <si>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0001</t>
  </si>
  <si>
    <t>стр. 0001 = гр.029</t>
  </si>
  <si>
    <t xml:space="preserve">текущие </t>
  </si>
  <si>
    <t xml:space="preserve">          "___" _____________ 20__ г. (дата составления)</t>
  </si>
  <si>
    <t>Стоимость имущества,закрепленного за учреждением на праве оперативного управления</t>
  </si>
  <si>
    <t>в том числе сдаваемого в аренду</t>
  </si>
  <si>
    <t>Стоимость имущества,приобретенное за счет выделенных собственником имущества учреждения средств</t>
  </si>
  <si>
    <t>Стоимость имущества, приобретенного  учреждением за счет доходов,полученных от платной и иной приносящей доход деятельности</t>
  </si>
  <si>
    <t>Балансовая стоимость движимого имущества,приобретенного учреждением за счет доходов, полученных от платной и иной приносящей доход деятельности</t>
  </si>
  <si>
    <t>Балансовая стоимость особо ценного движимого имущества</t>
  </si>
  <si>
    <t>1.2. Основные виды деятельности муниципального учреждения (подразделения): дошкольная образовательная деятельность</t>
  </si>
  <si>
    <t>1.1. Цели деятельности учреждения (подразделения): организация предоставления общедоступного и бесплатного дошкольного образования по основным  общеобразовательным программам; воспитание личности, социально адаптированной к условиям жизни в современном обществе, обучение, присмотр, уход и оздоровление детей</t>
  </si>
  <si>
    <t>на ________________ 2017 г.</t>
  </si>
  <si>
    <t>на __________________________ 2017 г.</t>
  </si>
  <si>
    <t>Муниципальное бюджетное дошкольное образовательное учреждение "Детский сад № 45 общеразвивающего вида"</t>
  </si>
  <si>
    <t>г. Петропавловск-Камчатский, ул. Владивостокская, д.21а</t>
  </si>
  <si>
    <r>
      <t xml:space="preserve">Код видов расходов </t>
    </r>
    <r>
      <rPr>
        <u val="single"/>
        <sz val="14"/>
        <color indexed="8"/>
        <rFont val="Times New Roman"/>
        <family val="1"/>
      </rPr>
      <t>111, 112, 119</t>
    </r>
  </si>
  <si>
    <r>
      <t xml:space="preserve">Источник финансового обеспечения:  </t>
    </r>
    <r>
      <rPr>
        <u val="single"/>
        <sz val="14"/>
        <color indexed="8"/>
        <rFont val="Times New Roman"/>
        <family val="1"/>
      </rPr>
      <t>субсидии на выполнение муниципального задания</t>
    </r>
  </si>
  <si>
    <t>Административный персонал</t>
  </si>
  <si>
    <t>Педагогический персонал</t>
  </si>
  <si>
    <t>Учебно-вспомогательный персонал</t>
  </si>
  <si>
    <t>Обслуживающий персонал</t>
  </si>
  <si>
    <t>Пособие по уходу за ребенком до 3-х лет</t>
  </si>
  <si>
    <r>
      <t xml:space="preserve">Код видов расходов </t>
    </r>
    <r>
      <rPr>
        <u val="single"/>
        <sz val="14"/>
        <color indexed="8"/>
        <rFont val="Times New Roman"/>
        <family val="1"/>
      </rPr>
      <t>851</t>
    </r>
  </si>
  <si>
    <t>Источник финансового обеспечения:  субсидии на выполнение муниципального задания</t>
  </si>
  <si>
    <t xml:space="preserve">Налог на имущество </t>
  </si>
  <si>
    <t>Земельный налог</t>
  </si>
  <si>
    <t>4. Расчет (обоснование) расходов на закупку товаров, работ, услуг</t>
  </si>
  <si>
    <r>
      <t xml:space="preserve">Код видов расходов </t>
    </r>
    <r>
      <rPr>
        <u val="single"/>
        <sz val="14"/>
        <color indexed="8"/>
        <rFont val="Times New Roman"/>
        <family val="1"/>
      </rPr>
      <t>244</t>
    </r>
  </si>
  <si>
    <t>4.1. Расчет (обоснование) расходов на оплату услуг связи</t>
  </si>
  <si>
    <t>Абонентская плата за телефон</t>
  </si>
  <si>
    <t>4.2. Расчет (обоснование) расходов на оплату транспортных услуг</t>
  </si>
  <si>
    <t>4.3. Расчет (обоснование) расходов на оплату коммунальных услуг</t>
  </si>
  <si>
    <t>Единица измерения</t>
  </si>
  <si>
    <t>Объем потребления ресурсов</t>
  </si>
  <si>
    <t>Теплоэнергия</t>
  </si>
  <si>
    <t>Гкал</t>
  </si>
  <si>
    <t>Тепло для ГВС</t>
  </si>
  <si>
    <t>Электроэнергия</t>
  </si>
  <si>
    <t>кВт</t>
  </si>
  <si>
    <t>Холодное водоснабжение</t>
  </si>
  <si>
    <r>
      <t>м</t>
    </r>
    <r>
      <rPr>
        <vertAlign val="superscript"/>
        <sz val="14"/>
        <color indexed="8"/>
        <rFont val="Times New Roman"/>
        <family val="1"/>
      </rPr>
      <t>3</t>
    </r>
  </si>
  <si>
    <t>Водоотведение</t>
  </si>
  <si>
    <t>Холодное водоснабжение для ГВС</t>
  </si>
  <si>
    <t>4.4. Расчет (обоснование) расходов на оплату аренды имущества</t>
  </si>
  <si>
    <t>4.5. Расчет (обоснование) расходов на оплату работ, услуг по содержанию имущества</t>
  </si>
  <si>
    <t>Вывоз ТБО</t>
  </si>
  <si>
    <t>Обслуживание ТСО</t>
  </si>
  <si>
    <t>Обслуживание УУТЭ</t>
  </si>
  <si>
    <t>ТО Пожарной сигнализации</t>
  </si>
  <si>
    <t xml:space="preserve">Дератизация </t>
  </si>
  <si>
    <t>Мониторинг работоспособности сетей передачи данных</t>
  </si>
  <si>
    <t>Снегоочистка</t>
  </si>
  <si>
    <t>ТО противопожарных дверей</t>
  </si>
  <si>
    <t>Аварийный , текущий ремонт</t>
  </si>
  <si>
    <t>Противопожарные мероприятия</t>
  </si>
  <si>
    <t>Гидравлические испытания трубопровода</t>
  </si>
  <si>
    <t>Обслуживание орг.техники</t>
  </si>
  <si>
    <t>4.6. Расчет (обоснование) расходов на оплату прочих работ, услуг</t>
  </si>
  <si>
    <t>Охрана имущества</t>
  </si>
  <si>
    <t>Сопровождение процедур закупки</t>
  </si>
  <si>
    <t>Обслуживание программного обеспечения</t>
  </si>
  <si>
    <t>Медицинский осмотр</t>
  </si>
  <si>
    <t>Обучение</t>
  </si>
  <si>
    <t>Подписка</t>
  </si>
  <si>
    <t>4.7. Расчет (обоснование) расходов на приобретение основных средств, материальных запасов</t>
  </si>
  <si>
    <t>Приобретение основных средств</t>
  </si>
  <si>
    <t>Итого  оснвных средств:</t>
  </si>
  <si>
    <t>Приобретение материальных запасов</t>
  </si>
  <si>
    <t>Приобретение материальных запасов на учебный процесс (канц.товары)</t>
  </si>
  <si>
    <t>Итого материальных запасов</t>
  </si>
  <si>
    <t>Гарант</t>
  </si>
  <si>
    <t>Обслуживание сайта</t>
  </si>
  <si>
    <t>1. Расчет (обоснование) расходов на закупку товаров, работ, услуг</t>
  </si>
  <si>
    <t>Источник финансового обеспечения: Приносящая доход деятельность</t>
  </si>
  <si>
    <t>6.1. Расчет (обоснование) расходов на оплату услуг связи</t>
  </si>
  <si>
    <t>6.2. Расчет (обоснование) расходов на оплату транспортных услуг</t>
  </si>
  <si>
    <t>6.3. Расчет (обоснование) расходов на оплату коммунальных услуг</t>
  </si>
  <si>
    <t>м3</t>
  </si>
  <si>
    <t>6.4. Расчет (обоснование) расходов на оплату аренды имущества</t>
  </si>
  <si>
    <t>6.5. Расчет (обоснование) расходов на оплату работ, услуг по содержанию имущества</t>
  </si>
  <si>
    <t>6.6. Расчет (обоснование) расходов на оплату прочих работ, услуг</t>
  </si>
  <si>
    <t>Обновление Гаранта</t>
  </si>
  <si>
    <t>1.1. Расчет (обоснование) расходов на приобретение основных средств, материальных запасов</t>
  </si>
  <si>
    <t>Количество д/дни</t>
  </si>
  <si>
    <t>в т.ч. продукты питания 100% оплата</t>
  </si>
  <si>
    <t>продукты питания, 50% оплата</t>
  </si>
  <si>
    <t xml:space="preserve">Заместитель главного бухгалтера муниципального  учреждения (подразделения)  </t>
  </si>
  <si>
    <r>
      <t>______________/__</t>
    </r>
    <r>
      <rPr>
        <u val="single"/>
        <sz val="14"/>
        <color indexed="8"/>
        <rFont val="Times New Roman"/>
        <family val="1"/>
      </rPr>
      <t>Цеханская И.С.</t>
    </r>
    <r>
      <rPr>
        <sz val="14"/>
        <color indexed="8"/>
        <rFont val="Times New Roman"/>
        <family val="1"/>
      </rPr>
      <t>__________</t>
    </r>
  </si>
  <si>
    <t>Тел.: 235-374</t>
  </si>
  <si>
    <r>
      <t>_________/____</t>
    </r>
    <r>
      <rPr>
        <u val="single"/>
        <sz val="15"/>
        <color indexed="8"/>
        <rFont val="Times New Roman"/>
        <family val="1"/>
      </rPr>
      <t>Оленева Е.И.</t>
    </r>
    <r>
      <rPr>
        <sz val="15"/>
        <color indexed="8"/>
        <rFont val="Times New Roman"/>
        <family val="1"/>
      </rPr>
      <t xml:space="preserve">________ </t>
    </r>
  </si>
  <si>
    <t>Тел. 235-379</t>
  </si>
  <si>
    <t>кВт/ч</t>
  </si>
  <si>
    <t>к Порядку составления и утверждения плана финансово-хозяйственной  деятельности муниципальных бюджетных  и автономных учреждений, находящихся  в ведении Управления образования администрации Петропавловск-Камчатского  городского округа</t>
  </si>
  <si>
    <t>Фонд оплаты труда в год, руб. (гр. 4 х гр.9)+гр.4) х гр.3 х 12</t>
  </si>
  <si>
    <t>Установленная численность, ставки</t>
  </si>
  <si>
    <t>на 2017 г. очередной финансовый год</t>
  </si>
  <si>
    <t>на 2018 г. 1-ый год планового периода</t>
  </si>
  <si>
    <t>на 2019 г. 2-ой год планового периода</t>
  </si>
  <si>
    <t>1.4. Общая балансовая стоимость недвижимого муниципального имущества на дату составления Плана, рублей:</t>
  </si>
  <si>
    <t xml:space="preserve"> МП</t>
  </si>
  <si>
    <t>V. Сведения о средствах, поступающих во временное распоряжение
муниципального учреждения (подразделения)</t>
  </si>
  <si>
    <t>Услуги связи</t>
  </si>
  <si>
    <t>Обслуживание узла учета тепловой энергии</t>
  </si>
  <si>
    <t>Техническое обслуживание пожарной сигнализации</t>
  </si>
  <si>
    <t>Дератизация и дезинсекция</t>
  </si>
  <si>
    <t>Техническое обслуживание противопожарных дверей</t>
  </si>
  <si>
    <t>Обслуживание технических средств оповещения</t>
  </si>
  <si>
    <t>Аварийный, текущий ремонт</t>
  </si>
  <si>
    <t>Приобретение основных средств (мебель, оборудование)</t>
  </si>
  <si>
    <t>Приобретение основных средств на учебный процесс  (развивающие игры и игрушки)</t>
  </si>
  <si>
    <t>Приобретение основных средств (миксер, стеллаж для посуды,шкаф кухонный, полка настенная)</t>
  </si>
  <si>
    <t>Код видов расходов: 112</t>
  </si>
  <si>
    <r>
      <t xml:space="preserve">Источник финансового обеспечения  </t>
    </r>
    <r>
      <rPr>
        <u val="single"/>
        <sz val="14"/>
        <color indexed="8"/>
        <rFont val="Times New Roman"/>
        <family val="1"/>
      </rPr>
      <t>субсидии на выполнение муниципального задания</t>
    </r>
  </si>
  <si>
    <t>Пособия по социальной помощи населению(выходное пособие при увольнении)</t>
  </si>
  <si>
    <r>
      <t xml:space="preserve">Код видов расходов </t>
    </r>
    <r>
      <rPr>
        <u val="single"/>
        <sz val="14"/>
        <color indexed="8"/>
        <rFont val="Times New Roman"/>
        <family val="1"/>
      </rPr>
      <t>853</t>
    </r>
  </si>
  <si>
    <t>Источник финансового обеспечения:  приносящая доход деятельность</t>
  </si>
  <si>
    <t>Пеня</t>
  </si>
  <si>
    <t>1.1 Расчет (обоснование) расходов на уплату налогов, сборов и иных платежей</t>
  </si>
  <si>
    <t>042</t>
  </si>
  <si>
    <t xml:space="preserve">Проект плана финансово-хозяйственной деятельности </t>
  </si>
  <si>
    <t>Техническое обслуживание систем вентиляции</t>
  </si>
  <si>
    <t>Поверка</t>
  </si>
  <si>
    <t>Расчеты (обоснования) к плану финансово-хозяйственной деятельности муниципального учреждения на 2020 г.</t>
  </si>
  <si>
    <t>Расчеты (обоснования) к плану финансово-хозяйственной деятельности муниципального учреждения на 2019 г.</t>
  </si>
  <si>
    <t>Приобретение материальных запасов (приносящая)</t>
  </si>
  <si>
    <t>на плановый период 2020 г.</t>
  </si>
  <si>
    <r>
      <t xml:space="preserve">Код видов расходов: </t>
    </r>
    <r>
      <rPr>
        <sz val="14"/>
        <color indexed="8"/>
        <rFont val="Times New Roman"/>
        <family val="1"/>
      </rPr>
      <t xml:space="preserve"> </t>
    </r>
    <r>
      <rPr>
        <u val="single"/>
        <sz val="14"/>
        <color indexed="8"/>
        <rFont val="Times New Roman"/>
        <family val="1"/>
      </rPr>
      <t>244</t>
    </r>
  </si>
  <si>
    <t>Прочие услуги по содержанию имущества</t>
  </si>
  <si>
    <t>Прочие услуги</t>
  </si>
  <si>
    <t>Исп.: Цеханская Ирина Сергеевна</t>
  </si>
  <si>
    <t>Сумма, руб. (гр. 2 x гр. 3)</t>
  </si>
  <si>
    <t>х</t>
  </si>
  <si>
    <t>Сумма (руб., с точностью до двух знаков после запятой - 0,00)</t>
  </si>
  <si>
    <t xml:space="preserve">                                  Цеханская Ирина Сергеевна</t>
  </si>
  <si>
    <t xml:space="preserve">                                   Цеханская Ирина Сергеевна</t>
  </si>
  <si>
    <t xml:space="preserve">Прочие услуги </t>
  </si>
  <si>
    <t>Приобретение материальных запасов на учебный процесс (канц. товары)</t>
  </si>
  <si>
    <t>Приобретение материальных запасов:</t>
  </si>
  <si>
    <t>1.1</t>
  </si>
  <si>
    <t>1.2</t>
  </si>
  <si>
    <t>1.5 Общая балансовая стоимость движимого муниципального имущества на дату составления Плана, рублей:</t>
  </si>
  <si>
    <r>
      <t xml:space="preserve">Код видов расходов </t>
    </r>
    <r>
      <rPr>
        <u val="single"/>
        <sz val="14"/>
        <color indexed="8"/>
        <rFont val="Times New Roman"/>
        <family val="1"/>
      </rPr>
      <t>851, 852, 853</t>
    </r>
  </si>
  <si>
    <t>госпошлина</t>
  </si>
  <si>
    <t>Приобретение основных средств на учебный процесс</t>
  </si>
  <si>
    <t>Тел.: 303-100 (2666)</t>
  </si>
  <si>
    <t>уплата прочих налогов и сборов (госпошлина)</t>
  </si>
  <si>
    <t>на 2019 г. и плановый период 2020 г. и 2021 г.</t>
  </si>
  <si>
    <t>на  2019 г.</t>
  </si>
  <si>
    <t>на 2019 г. и плановый период 2020г. и 2021 г.</t>
  </si>
  <si>
    <t>на 2019 г.</t>
  </si>
  <si>
    <t>на плановый период 2021 г.</t>
  </si>
  <si>
    <t>Расчеты (обоснования) к плану финансово-хозяйственной деятельности муниципального учреждения на 2021 г.</t>
  </si>
  <si>
    <t>текущие</t>
  </si>
  <si>
    <t>ком-ка</t>
  </si>
  <si>
    <t>на 2019 год</t>
  </si>
  <si>
    <t>отклонение</t>
  </si>
  <si>
    <t>проверка</t>
  </si>
  <si>
    <t>ПРОВЕРКА</t>
  </si>
  <si>
    <t>на 2019 г. очередной финансовый год</t>
  </si>
  <si>
    <t>на 2020 г. 1-ый год планового периода</t>
  </si>
  <si>
    <t>на 2021 г. 2-ой год планового периода</t>
  </si>
  <si>
    <t>на 2020г. 1-ый год планового периода</t>
  </si>
  <si>
    <t>город</t>
  </si>
  <si>
    <t>край</t>
  </si>
  <si>
    <t>ТО системы винтеляции</t>
  </si>
  <si>
    <t>Договоры ГПХ</t>
  </si>
  <si>
    <t>остаток на конец года</t>
  </si>
  <si>
    <t>-</t>
  </si>
  <si>
    <t>Заведующая Муниципального бюджетного дошкольного образовательного учреждения "Детский сад № 45 общеразвивающего вида"</t>
  </si>
  <si>
    <t>Калдаева О.В.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</si>
</sst>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000"/>
    <numFmt numFmtId="178" formatCode="0.0000000"/>
    <numFmt numFmtId="179" formatCode="0.000"/>
    <numFmt numFmtId="180" formatCode="#,##0.000"/>
    <numFmt numFmtId="181" formatCode="#,##0.0000"/>
    <numFmt numFmtId="182" formatCode="#,##0.000000"/>
    <numFmt numFmtId="183" formatCode="#,##0.0"/>
    <numFmt numFmtId="184" formatCode="0.0000"/>
    <numFmt numFmtId="185" formatCode="0.00000"/>
    <numFmt numFmtId="186" formatCode="0.000000"/>
    <numFmt numFmtId="187" formatCode="#,##0.0000000"/>
    <numFmt numFmtId="188" formatCode="#,##0.00000000"/>
    <numFmt numFmtId="189" formatCode="#,##0.000000000"/>
    <numFmt numFmtId="190" formatCode="#,##0.0000000000"/>
    <numFmt numFmtId="191" formatCode="#,##0.00000000000"/>
    <numFmt numFmtId="192" formatCode="#,##0.000000000000"/>
    <numFmt numFmtId="193" formatCode="#,##0.0000000000000"/>
    <numFmt numFmtId="194" formatCode="#,##0.00000000000000"/>
    <numFmt numFmtId="195" formatCode="0.00000000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-* #,##0.00000_р_._-;\-* #,##0.00000_р_._-;_-* &quot;-&quot;??_р_._-;_-@_-"/>
    <numFmt numFmtId="199" formatCode="_-* #,##0.000000_р_._-;\-* #,##0.000000_р_._-;_-* &quot;-&quot;??_р_._-;_-@_-"/>
    <numFmt numFmtId="200" formatCode="_-* #,##0.0000000_р_._-;\-* #,##0.0000000_р_._-;_-* &quot;-&quot;??_р_._-;_-@_-"/>
    <numFmt numFmtId="201" formatCode="0.00_ ;\-0.00\ "/>
    <numFmt numFmtId="202" formatCode="#,##0.00_ ;\-#,##0.00\ 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12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u val="single"/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5"/>
      <color indexed="8"/>
      <name val="Times New Roman"/>
      <family val="1"/>
    </font>
    <font>
      <u val="single"/>
      <sz val="15"/>
      <color indexed="8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u val="single"/>
      <sz val="14"/>
      <color indexed="30"/>
      <name val="Times New Roman"/>
      <family val="1"/>
    </font>
    <font>
      <sz val="9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1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u val="single"/>
      <sz val="14"/>
      <color theme="1"/>
      <name val="Times New Roman"/>
      <family val="1"/>
    </font>
    <font>
      <u val="single"/>
      <sz val="14"/>
      <color theme="10"/>
      <name val="Times New Roman"/>
      <family val="1"/>
    </font>
    <font>
      <sz val="9"/>
      <color theme="1"/>
      <name val="Times New Roman"/>
      <family val="1"/>
    </font>
    <font>
      <u val="single"/>
      <sz val="15"/>
      <color theme="1"/>
      <name val="Times New Roman"/>
      <family val="1"/>
    </font>
    <font>
      <b/>
      <sz val="15"/>
      <color theme="1"/>
      <name val="Times New Roman"/>
      <family val="1"/>
    </font>
    <font>
      <sz val="15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31">
    <xf numFmtId="0" fontId="0" fillId="0" borderId="0" xfId="0" applyFont="1" applyAlignment="1">
      <alignment/>
    </xf>
    <xf numFmtId="0" fontId="62" fillId="0" borderId="10" xfId="0" applyFont="1" applyBorder="1" applyAlignment="1">
      <alignment vertical="center" wrapText="1"/>
    </xf>
    <xf numFmtId="0" fontId="62" fillId="0" borderId="11" xfId="0" applyFont="1" applyBorder="1" applyAlignment="1">
      <alignment vertical="center" wrapText="1"/>
    </xf>
    <xf numFmtId="0" fontId="62" fillId="0" borderId="12" xfId="0" applyFont="1" applyBorder="1" applyAlignment="1">
      <alignment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justify" vertical="center"/>
    </xf>
    <xf numFmtId="0" fontId="62" fillId="0" borderId="0" xfId="0" applyFont="1" applyAlignment="1">
      <alignment/>
    </xf>
    <xf numFmtId="0" fontId="62" fillId="0" borderId="0" xfId="0" applyFont="1" applyAlignment="1">
      <alignment horizontal="right" vertical="center"/>
    </xf>
    <xf numFmtId="0" fontId="62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vertical="center" wrapText="1"/>
    </xf>
    <xf numFmtId="0" fontId="63" fillId="0" borderId="0" xfId="0" applyFont="1" applyAlignment="1">
      <alignment horizontal="right" vertical="center"/>
    </xf>
    <xf numFmtId="0" fontId="64" fillId="0" borderId="0" xfId="0" applyFont="1" applyAlignment="1">
      <alignment horizontal="center" vertical="center" wrapText="1"/>
    </xf>
    <xf numFmtId="0" fontId="64" fillId="0" borderId="0" xfId="0" applyFont="1" applyAlignment="1">
      <alignment horizontal="left" vertical="center" wrapText="1"/>
    </xf>
    <xf numFmtId="0" fontId="65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4" fontId="62" fillId="0" borderId="10" xfId="0" applyNumberFormat="1" applyFont="1" applyBorder="1" applyAlignment="1">
      <alignment horizontal="center" vertical="center" wrapText="1"/>
    </xf>
    <xf numFmtId="0" fontId="66" fillId="0" borderId="0" xfId="0" applyFont="1" applyAlignment="1">
      <alignment horizontal="right"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justify" vertical="center" wrapText="1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/>
    </xf>
    <xf numFmtId="0" fontId="63" fillId="0" borderId="0" xfId="0" applyFont="1" applyAlignment="1">
      <alignment horizontal="justify" vertical="center"/>
    </xf>
    <xf numFmtId="0" fontId="64" fillId="0" borderId="13" xfId="0" applyFont="1" applyBorder="1" applyAlignment="1">
      <alignment/>
    </xf>
    <xf numFmtId="0" fontId="64" fillId="0" borderId="0" xfId="0" applyFont="1" applyAlignment="1">
      <alignment horizontal="left" wrapText="1"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right" wrapText="1"/>
    </xf>
    <xf numFmtId="0" fontId="64" fillId="0" borderId="14" xfId="0" applyFont="1" applyBorder="1" applyAlignment="1">
      <alignment horizontal="right" wrapText="1"/>
    </xf>
    <xf numFmtId="0" fontId="64" fillId="0" borderId="0" xfId="0" applyFont="1" applyBorder="1" applyAlignment="1">
      <alignment/>
    </xf>
    <xf numFmtId="0" fontId="64" fillId="0" borderId="13" xfId="0" applyFont="1" applyBorder="1" applyAlignment="1">
      <alignment horizontal="center" vertical="center"/>
    </xf>
    <xf numFmtId="0" fontId="62" fillId="0" borderId="15" xfId="0" applyFont="1" applyBorder="1" applyAlignment="1">
      <alignment vertical="center" wrapText="1"/>
    </xf>
    <xf numFmtId="0" fontId="62" fillId="0" borderId="16" xfId="0" applyFont="1" applyBorder="1" applyAlignment="1">
      <alignment vertical="center" wrapText="1"/>
    </xf>
    <xf numFmtId="0" fontId="62" fillId="0" borderId="17" xfId="0" applyFont="1" applyBorder="1" applyAlignment="1">
      <alignment vertical="center" wrapText="1"/>
    </xf>
    <xf numFmtId="0" fontId="62" fillId="0" borderId="0" xfId="0" applyFont="1" applyAlignment="1">
      <alignment horizontal="left" vertical="center" wrapText="1" indent="1"/>
    </xf>
    <xf numFmtId="0" fontId="63" fillId="0" borderId="0" xfId="0" applyFont="1" applyAlignment="1">
      <alignment horizontal="justify" vertical="center" wrapText="1"/>
    </xf>
    <xf numFmtId="0" fontId="0" fillId="0" borderId="0" xfId="0" applyAlignment="1">
      <alignment vertical="top" wrapText="1"/>
    </xf>
    <xf numFmtId="0" fontId="64" fillId="0" borderId="0" xfId="0" applyFont="1" applyAlignment="1">
      <alignment horizontal="left"/>
    </xf>
    <xf numFmtId="0" fontId="62" fillId="0" borderId="0" xfId="0" applyFont="1" applyAlignment="1">
      <alignment vertical="top"/>
    </xf>
    <xf numFmtId="0" fontId="67" fillId="0" borderId="0" xfId="0" applyFont="1" applyAlignment="1">
      <alignment horizontal="right" vertical="center" wrapText="1"/>
    </xf>
    <xf numFmtId="0" fontId="62" fillId="0" borderId="0" xfId="0" applyFont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0" fontId="62" fillId="0" borderId="11" xfId="0" applyFont="1" applyBorder="1" applyAlignment="1">
      <alignment horizontal="right" vertic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vertical="center" wrapText="1"/>
    </xf>
    <xf numFmtId="0" fontId="62" fillId="0" borderId="0" xfId="0" applyFont="1" applyAlignment="1">
      <alignment horizontal="right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49" fontId="62" fillId="0" borderId="10" xfId="0" applyNumberFormat="1" applyFont="1" applyBorder="1" applyAlignment="1">
      <alignment horizontal="center" vertical="center" wrapText="1"/>
    </xf>
    <xf numFmtId="0" fontId="68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69" fillId="33" borderId="0" xfId="0" applyFont="1" applyFill="1" applyAlignment="1">
      <alignment horizontal="center" vertical="center" wrapText="1"/>
    </xf>
    <xf numFmtId="0" fontId="62" fillId="0" borderId="0" xfId="0" applyFont="1" applyAlignment="1">
      <alignment vertical="center" wrapText="1"/>
    </xf>
    <xf numFmtId="0" fontId="62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4" fillId="33" borderId="0" xfId="0" applyFont="1" applyFill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33" borderId="0" xfId="0" applyFont="1" applyFill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4" fontId="62" fillId="33" borderId="10" xfId="0" applyNumberFormat="1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right" wrapText="1"/>
    </xf>
    <xf numFmtId="49" fontId="62" fillId="0" borderId="0" xfId="0" applyNumberFormat="1" applyFont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67" fillId="0" borderId="0" xfId="0" applyFont="1" applyAlignment="1">
      <alignment horizontal="center" vertical="center"/>
    </xf>
    <xf numFmtId="4" fontId="0" fillId="0" borderId="0" xfId="0" applyNumberFormat="1" applyAlignment="1">
      <alignment/>
    </xf>
    <xf numFmtId="10" fontId="62" fillId="0" borderId="10" xfId="0" applyNumberFormat="1" applyFont="1" applyBorder="1" applyAlignment="1">
      <alignment horizontal="center" vertical="center" wrapText="1"/>
    </xf>
    <xf numFmtId="2" fontId="62" fillId="0" borderId="10" xfId="0" applyNumberFormat="1" applyFont="1" applyBorder="1" applyAlignment="1">
      <alignment horizontal="center" vertical="center" wrapText="1"/>
    </xf>
    <xf numFmtId="4" fontId="52" fillId="34" borderId="0" xfId="0" applyNumberFormat="1" applyFont="1" applyFill="1" applyAlignment="1">
      <alignment/>
    </xf>
    <xf numFmtId="0" fontId="67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horizontal="justify" vertical="center" wrapText="1"/>
    </xf>
    <xf numFmtId="4" fontId="67" fillId="0" borderId="10" xfId="0" applyNumberFormat="1" applyFont="1" applyBorder="1" applyAlignment="1">
      <alignment vertical="center" wrapText="1"/>
    </xf>
    <xf numFmtId="177" fontId="0" fillId="0" borderId="0" xfId="0" applyNumberFormat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62" fillId="33" borderId="17" xfId="0" applyFont="1" applyFill="1" applyBorder="1" applyAlignment="1">
      <alignment horizontal="center" vertical="center" wrapText="1"/>
    </xf>
    <xf numFmtId="0" fontId="62" fillId="33" borderId="16" xfId="0" applyFont="1" applyFill="1" applyBorder="1" applyAlignment="1">
      <alignment horizontal="center" vertical="center" wrapText="1"/>
    </xf>
    <xf numFmtId="2" fontId="62" fillId="33" borderId="10" xfId="0" applyNumberFormat="1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right" vertical="center" wrapText="1"/>
    </xf>
    <xf numFmtId="0" fontId="67" fillId="33" borderId="10" xfId="0" applyFont="1" applyFill="1" applyBorder="1" applyAlignment="1">
      <alignment horizontal="center" vertical="center" wrapText="1"/>
    </xf>
    <xf numFmtId="2" fontId="67" fillId="33" borderId="10" xfId="0" applyNumberFormat="1" applyFont="1" applyFill="1" applyBorder="1" applyAlignment="1">
      <alignment horizontal="center" vertical="center" wrapText="1"/>
    </xf>
    <xf numFmtId="43" fontId="67" fillId="33" borderId="10" xfId="6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vertical="center" wrapText="1"/>
    </xf>
    <xf numFmtId="0" fontId="62" fillId="33" borderId="11" xfId="0" applyFont="1" applyFill="1" applyBorder="1" applyAlignment="1">
      <alignment horizontal="justify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justify" vertical="center" wrapText="1"/>
    </xf>
    <xf numFmtId="0" fontId="62" fillId="33" borderId="10" xfId="0" applyFont="1" applyFill="1" applyBorder="1" applyAlignment="1">
      <alignment horizontal="left" vertical="center" wrapText="1" indent="4"/>
    </xf>
    <xf numFmtId="4" fontId="67" fillId="33" borderId="10" xfId="0" applyNumberFormat="1" applyFont="1" applyFill="1" applyBorder="1" applyAlignment="1">
      <alignment horizontal="center" vertical="center" wrapText="1"/>
    </xf>
    <xf numFmtId="0" fontId="62" fillId="33" borderId="0" xfId="0" applyFont="1" applyFill="1" applyAlignment="1">
      <alignment horizontal="justify" vertical="center"/>
    </xf>
    <xf numFmtId="0" fontId="62" fillId="33" borderId="0" xfId="0" applyFont="1" applyFill="1" applyAlignment="1">
      <alignment horizontal="center" vertical="center"/>
    </xf>
    <xf numFmtId="43" fontId="62" fillId="33" borderId="10" xfId="60" applyFont="1" applyFill="1" applyBorder="1" applyAlignment="1">
      <alignment horizontal="center" vertical="center" wrapText="1"/>
    </xf>
    <xf numFmtId="2" fontId="0" fillId="33" borderId="0" xfId="0" applyNumberFormat="1" applyFill="1" applyAlignment="1">
      <alignment/>
    </xf>
    <xf numFmtId="0" fontId="62" fillId="33" borderId="0" xfId="0" applyFont="1" applyFill="1" applyAlignment="1">
      <alignment vertical="center"/>
    </xf>
    <xf numFmtId="0" fontId="62" fillId="33" borderId="0" xfId="0" applyFont="1" applyFill="1" applyAlignment="1">
      <alignment horizontal="left" vertical="center"/>
    </xf>
    <xf numFmtId="0" fontId="67" fillId="33" borderId="17" xfId="0" applyFont="1" applyFill="1" applyBorder="1" applyAlignment="1">
      <alignment horizontal="right" vertical="center" wrapText="1"/>
    </xf>
    <xf numFmtId="2" fontId="67" fillId="33" borderId="16" xfId="0" applyNumberFormat="1" applyFont="1" applyFill="1" applyBorder="1" applyAlignment="1">
      <alignment horizontal="center" vertical="center" wrapText="1"/>
    </xf>
    <xf numFmtId="43" fontId="62" fillId="33" borderId="10" xfId="0" applyNumberFormat="1" applyFont="1" applyFill="1" applyBorder="1" applyAlignment="1">
      <alignment horizontal="center" vertical="center" wrapText="1"/>
    </xf>
    <xf numFmtId="43" fontId="67" fillId="33" borderId="10" xfId="0" applyNumberFormat="1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right" vertical="center" wrapText="1"/>
    </xf>
    <xf numFmtId="0" fontId="62" fillId="33" borderId="10" xfId="0" applyFont="1" applyFill="1" applyBorder="1" applyAlignment="1">
      <alignment horizontal="left" vertical="center" wrapText="1"/>
    </xf>
    <xf numFmtId="4" fontId="62" fillId="0" borderId="13" xfId="0" applyNumberFormat="1" applyFont="1" applyBorder="1" applyAlignment="1">
      <alignment horizontal="center" vertical="center" wrapText="1"/>
    </xf>
    <xf numFmtId="0" fontId="62" fillId="0" borderId="0" xfId="0" applyFont="1" applyAlignment="1">
      <alignment horizontal="right" vertical="center" wrapText="1"/>
    </xf>
    <xf numFmtId="0" fontId="64" fillId="33" borderId="0" xfId="0" applyFont="1" applyFill="1" applyAlignment="1">
      <alignment horizontal="center" vertical="center" wrapText="1"/>
    </xf>
    <xf numFmtId="4" fontId="62" fillId="0" borderId="13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 vertical="center" wrapText="1"/>
    </xf>
    <xf numFmtId="0" fontId="64" fillId="0" borderId="0" xfId="0" applyFont="1" applyFill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0" fontId="62" fillId="0" borderId="0" xfId="0" applyFont="1" applyFill="1" applyBorder="1" applyAlignment="1">
      <alignment vertical="center" wrapText="1"/>
    </xf>
    <xf numFmtId="4" fontId="68" fillId="33" borderId="0" xfId="0" applyNumberFormat="1" applyFont="1" applyFill="1" applyAlignment="1">
      <alignment horizontal="center" vertical="center" wrapText="1"/>
    </xf>
    <xf numFmtId="4" fontId="64" fillId="33" borderId="0" xfId="0" applyNumberFormat="1" applyFont="1" applyFill="1" applyAlignment="1">
      <alignment horizontal="center" vertical="center" wrapText="1"/>
    </xf>
    <xf numFmtId="0" fontId="62" fillId="0" borderId="0" xfId="0" applyFont="1" applyAlignment="1">
      <alignment/>
    </xf>
    <xf numFmtId="0" fontId="62" fillId="0" borderId="0" xfId="0" applyFont="1" applyAlignment="1">
      <alignment horizontal="center" vertical="center" wrapText="1"/>
    </xf>
    <xf numFmtId="0" fontId="62" fillId="0" borderId="12" xfId="0" applyFont="1" applyBorder="1" applyAlignment="1">
      <alignment vertical="center" wrapText="1"/>
    </xf>
    <xf numFmtId="0" fontId="62" fillId="0" borderId="12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4" fillId="33" borderId="0" xfId="0" applyFont="1" applyFill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horizontal="left" wrapText="1"/>
    </xf>
    <xf numFmtId="0" fontId="62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vertical="center" wrapText="1"/>
    </xf>
    <xf numFmtId="0" fontId="62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4" fontId="62" fillId="33" borderId="0" xfId="0" applyNumberFormat="1" applyFont="1" applyFill="1" applyBorder="1" applyAlignment="1">
      <alignment vertical="center" wrapText="1"/>
    </xf>
    <xf numFmtId="4" fontId="62" fillId="33" borderId="0" xfId="0" applyNumberFormat="1" applyFont="1" applyFill="1" applyAlignment="1">
      <alignment horizontal="center" vertical="center" wrapText="1"/>
    </xf>
    <xf numFmtId="0" fontId="62" fillId="0" borderId="12" xfId="0" applyFont="1" applyBorder="1" applyAlignment="1">
      <alignment vertical="center" wrapText="1"/>
    </xf>
    <xf numFmtId="0" fontId="64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4" fontId="62" fillId="0" borderId="17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4" fontId="71" fillId="0" borderId="17" xfId="0" applyNumberFormat="1" applyFont="1" applyBorder="1" applyAlignment="1">
      <alignment horizontal="center" vertical="center" wrapText="1"/>
    </xf>
    <xf numFmtId="4" fontId="64" fillId="0" borderId="17" xfId="0" applyNumberFormat="1" applyFont="1" applyBorder="1" applyAlignment="1">
      <alignment horizontal="center" vertical="center" wrapText="1"/>
    </xf>
    <xf numFmtId="0" fontId="62" fillId="0" borderId="12" xfId="0" applyFont="1" applyBorder="1" applyAlignment="1">
      <alignment vertical="center" wrapText="1"/>
    </xf>
    <xf numFmtId="0" fontId="64" fillId="33" borderId="0" xfId="0" applyFont="1" applyFill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4" fontId="70" fillId="0" borderId="0" xfId="0" applyNumberFormat="1" applyFont="1" applyAlignment="1">
      <alignment horizontal="center" vertical="center" wrapText="1"/>
    </xf>
    <xf numFmtId="4" fontId="72" fillId="0" borderId="0" xfId="0" applyNumberFormat="1" applyFont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2" fillId="0" borderId="12" xfId="0" applyFont="1" applyBorder="1" applyAlignment="1">
      <alignment vertical="center" wrapText="1"/>
    </xf>
    <xf numFmtId="0" fontId="62" fillId="0" borderId="12" xfId="0" applyFont="1" applyBorder="1" applyAlignment="1">
      <alignment horizontal="center" vertical="center" wrapText="1"/>
    </xf>
    <xf numFmtId="0" fontId="64" fillId="33" borderId="0" xfId="0" applyFont="1" applyFill="1" applyAlignment="1">
      <alignment horizontal="center" vertical="center" wrapText="1"/>
    </xf>
    <xf numFmtId="0" fontId="62" fillId="0" borderId="0" xfId="0" applyFont="1" applyAlignment="1">
      <alignment horizontal="left" wrapText="1"/>
    </xf>
    <xf numFmtId="0" fontId="64" fillId="0" borderId="0" xfId="0" applyFont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horizontal="left" wrapText="1"/>
    </xf>
    <xf numFmtId="0" fontId="62" fillId="0" borderId="12" xfId="0" applyFont="1" applyBorder="1" applyAlignment="1">
      <alignment horizontal="center" vertical="center" wrapText="1"/>
    </xf>
    <xf numFmtId="4" fontId="62" fillId="0" borderId="12" xfId="0" applyNumberFormat="1" applyFont="1" applyBorder="1" applyAlignment="1">
      <alignment horizontal="center" vertical="center" wrapText="1"/>
    </xf>
    <xf numFmtId="0" fontId="62" fillId="0" borderId="13" xfId="0" applyFont="1" applyBorder="1" applyAlignment="1">
      <alignment horizontal="left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64" fillId="33" borderId="0" xfId="0" applyFont="1" applyFill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2" fillId="0" borderId="18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33" borderId="16" xfId="0" applyFont="1" applyFill="1" applyBorder="1" applyAlignment="1">
      <alignment horizontal="center" vertical="center" wrapText="1"/>
    </xf>
    <xf numFmtId="0" fontId="62" fillId="33" borderId="0" xfId="0" applyFont="1" applyFill="1" applyAlignment="1">
      <alignment horizontal="left" vertical="center"/>
    </xf>
    <xf numFmtId="0" fontId="62" fillId="0" borderId="0" xfId="0" applyFont="1" applyAlignment="1">
      <alignment horizontal="left"/>
    </xf>
    <xf numFmtId="0" fontId="62" fillId="33" borderId="13" xfId="0" applyFont="1" applyFill="1" applyBorder="1" applyAlignment="1">
      <alignment horizontal="center" vertical="center" wrapText="1"/>
    </xf>
    <xf numFmtId="4" fontId="62" fillId="33" borderId="13" xfId="0" applyNumberFormat="1" applyFont="1" applyFill="1" applyBorder="1" applyAlignment="1">
      <alignment horizontal="center" vertical="center" wrapText="1"/>
    </xf>
    <xf numFmtId="0" fontId="62" fillId="33" borderId="20" xfId="0" applyFont="1" applyFill="1" applyBorder="1" applyAlignment="1">
      <alignment horizontal="center" vertical="center" wrapText="1"/>
    </xf>
    <xf numFmtId="0" fontId="62" fillId="33" borderId="21" xfId="0" applyFont="1" applyFill="1" applyBorder="1" applyAlignment="1">
      <alignment horizontal="center" vertical="center" wrapText="1"/>
    </xf>
    <xf numFmtId="0" fontId="62" fillId="33" borderId="22" xfId="0" applyFont="1" applyFill="1" applyBorder="1" applyAlignment="1">
      <alignment horizontal="center" vertical="center" wrapText="1"/>
    </xf>
    <xf numFmtId="4" fontId="62" fillId="33" borderId="23" xfId="0" applyNumberFormat="1" applyFont="1" applyFill="1" applyBorder="1" applyAlignment="1">
      <alignment horizontal="center" vertical="center" wrapText="1"/>
    </xf>
    <xf numFmtId="4" fontId="62" fillId="33" borderId="24" xfId="0" applyNumberFormat="1" applyFont="1" applyFill="1" applyBorder="1" applyAlignment="1">
      <alignment horizontal="center" vertical="center" wrapText="1"/>
    </xf>
    <xf numFmtId="0" fontId="62" fillId="33" borderId="25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left" vertical="center" wrapText="1"/>
    </xf>
    <xf numFmtId="0" fontId="62" fillId="33" borderId="24" xfId="0" applyFont="1" applyFill="1" applyBorder="1" applyAlignment="1">
      <alignment horizontal="left" vertical="center" wrapText="1"/>
    </xf>
    <xf numFmtId="0" fontId="67" fillId="33" borderId="13" xfId="0" applyFont="1" applyFill="1" applyBorder="1" applyAlignment="1">
      <alignment horizontal="center" vertical="center" wrapText="1"/>
    </xf>
    <xf numFmtId="4" fontId="67" fillId="33" borderId="13" xfId="0" applyNumberFormat="1" applyFont="1" applyFill="1" applyBorder="1" applyAlignment="1">
      <alignment horizontal="center" vertical="center" wrapText="1"/>
    </xf>
    <xf numFmtId="4" fontId="67" fillId="33" borderId="26" xfId="0" applyNumberFormat="1" applyFont="1" applyFill="1" applyBorder="1" applyAlignment="1">
      <alignment horizontal="center" vertical="center" wrapText="1"/>
    </xf>
    <xf numFmtId="43" fontId="62" fillId="0" borderId="27" xfId="60" applyFont="1" applyFill="1" applyBorder="1" applyAlignment="1">
      <alignment horizontal="center" vertical="center" wrapText="1"/>
    </xf>
    <xf numFmtId="43" fontId="67" fillId="0" borderId="28" xfId="60" applyFont="1" applyFill="1" applyBorder="1" applyAlignment="1">
      <alignment horizontal="center" vertical="center" wrapText="1"/>
    </xf>
    <xf numFmtId="43" fontId="62" fillId="0" borderId="29" xfId="6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 wrapText="1"/>
    </xf>
    <xf numFmtId="0" fontId="12" fillId="35" borderId="2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2" fillId="0" borderId="0" xfId="0" applyFont="1" applyFill="1" applyAlignment="1">
      <alignment horizontal="right" vertical="center"/>
    </xf>
    <xf numFmtId="0" fontId="66" fillId="0" borderId="0" xfId="0" applyFont="1" applyFill="1" applyAlignment="1">
      <alignment horizontal="right" vertical="center"/>
    </xf>
    <xf numFmtId="0" fontId="52" fillId="0" borderId="0" xfId="0" applyFont="1" applyFill="1" applyAlignment="1">
      <alignment/>
    </xf>
    <xf numFmtId="0" fontId="67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vertical="center"/>
    </xf>
    <xf numFmtId="4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0" fontId="62" fillId="0" borderId="31" xfId="0" applyFont="1" applyFill="1" applyBorder="1" applyAlignment="1">
      <alignment horizontal="center" vertical="center" wrapText="1"/>
    </xf>
    <xf numFmtId="0" fontId="62" fillId="0" borderId="32" xfId="0" applyFont="1" applyFill="1" applyBorder="1" applyAlignment="1">
      <alignment horizontal="center" vertical="center" wrapText="1"/>
    </xf>
    <xf numFmtId="0" fontId="62" fillId="0" borderId="29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4" fontId="62" fillId="0" borderId="23" xfId="0" applyNumberFormat="1" applyFont="1" applyFill="1" applyBorder="1" applyAlignment="1">
      <alignment horizontal="center" vertical="center" wrapText="1"/>
    </xf>
    <xf numFmtId="2" fontId="62" fillId="0" borderId="13" xfId="0" applyNumberFormat="1" applyFont="1" applyFill="1" applyBorder="1" applyAlignment="1">
      <alignment horizontal="center" vertical="center" wrapText="1"/>
    </xf>
    <xf numFmtId="0" fontId="62" fillId="0" borderId="33" xfId="0" applyFont="1" applyFill="1" applyBorder="1" applyAlignment="1">
      <alignment horizontal="center" vertical="center" wrapText="1"/>
    </xf>
    <xf numFmtId="0" fontId="62" fillId="0" borderId="34" xfId="0" applyFont="1" applyFill="1" applyBorder="1" applyAlignment="1">
      <alignment horizontal="center" vertical="center" wrapText="1"/>
    </xf>
    <xf numFmtId="4" fontId="62" fillId="0" borderId="34" xfId="0" applyNumberFormat="1" applyFont="1" applyFill="1" applyBorder="1" applyAlignment="1">
      <alignment horizontal="center" vertical="center" wrapText="1"/>
    </xf>
    <xf numFmtId="4" fontId="62" fillId="0" borderId="27" xfId="0" applyNumberFormat="1" applyFont="1" applyFill="1" applyBorder="1" applyAlignment="1">
      <alignment horizontal="center" vertical="center" wrapText="1"/>
    </xf>
    <xf numFmtId="181" fontId="0" fillId="0" borderId="0" xfId="0" applyNumberFormat="1" applyFill="1" applyAlignment="1">
      <alignment/>
    </xf>
    <xf numFmtId="4" fontId="52" fillId="0" borderId="0" xfId="0" applyNumberFormat="1" applyFont="1" applyFill="1" applyAlignment="1">
      <alignment/>
    </xf>
    <xf numFmtId="0" fontId="67" fillId="0" borderId="26" xfId="0" applyFont="1" applyFill="1" applyBorder="1" applyAlignment="1">
      <alignment horizontal="center" vertical="center" wrapText="1"/>
    </xf>
    <xf numFmtId="4" fontId="67" fillId="0" borderId="26" xfId="0" applyNumberFormat="1" applyFont="1" applyFill="1" applyBorder="1" applyAlignment="1">
      <alignment horizontal="center" vertical="center" wrapText="1"/>
    </xf>
    <xf numFmtId="4" fontId="67" fillId="0" borderId="28" xfId="0" applyNumberFormat="1" applyFont="1" applyFill="1" applyBorder="1" applyAlignment="1">
      <alignment horizontal="center" vertical="center" wrapText="1"/>
    </xf>
    <xf numFmtId="43" fontId="0" fillId="0" borderId="0" xfId="60" applyFont="1" applyFill="1" applyAlignment="1">
      <alignment/>
    </xf>
    <xf numFmtId="179" fontId="0" fillId="0" borderId="0" xfId="0" applyNumberFormat="1" applyFill="1" applyAlignment="1">
      <alignment/>
    </xf>
    <xf numFmtId="2" fontId="62" fillId="0" borderId="34" xfId="0" applyNumberFormat="1" applyFont="1" applyFill="1" applyBorder="1" applyAlignment="1">
      <alignment horizontal="center" vertical="center" wrapText="1"/>
    </xf>
    <xf numFmtId="2" fontId="62" fillId="0" borderId="27" xfId="0" applyNumberFormat="1" applyFont="1" applyFill="1" applyBorder="1" applyAlignment="1">
      <alignment horizontal="center" vertical="center" wrapText="1"/>
    </xf>
    <xf numFmtId="2" fontId="67" fillId="0" borderId="28" xfId="0" applyNumberFormat="1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vertical="center" wrapText="1"/>
    </xf>
    <xf numFmtId="0" fontId="62" fillId="0" borderId="13" xfId="0" applyFont="1" applyFill="1" applyBorder="1" applyAlignment="1">
      <alignment horizontal="justify" vertical="center" wrapText="1"/>
    </xf>
    <xf numFmtId="0" fontId="62" fillId="0" borderId="34" xfId="0" applyFont="1" applyFill="1" applyBorder="1" applyAlignment="1">
      <alignment vertical="center" wrapText="1"/>
    </xf>
    <xf numFmtId="0" fontId="62" fillId="0" borderId="0" xfId="0" applyFont="1" applyFill="1" applyAlignment="1">
      <alignment horizontal="justify" vertical="center"/>
    </xf>
    <xf numFmtId="0" fontId="62" fillId="0" borderId="0" xfId="0" applyFont="1" applyFill="1" applyAlignment="1">
      <alignment horizontal="center" vertical="center"/>
    </xf>
    <xf numFmtId="2" fontId="0" fillId="0" borderId="0" xfId="0" applyNumberFormat="1" applyFill="1" applyAlignment="1">
      <alignment/>
    </xf>
    <xf numFmtId="43" fontId="62" fillId="0" borderId="34" xfId="60" applyFont="1" applyFill="1" applyBorder="1" applyAlignment="1">
      <alignment horizontal="center" vertical="center" wrapText="1"/>
    </xf>
    <xf numFmtId="43" fontId="67" fillId="0" borderId="26" xfId="6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left" vertical="center"/>
    </xf>
    <xf numFmtId="2" fontId="67" fillId="0" borderId="26" xfId="0" applyNumberFormat="1" applyFont="1" applyFill="1" applyBorder="1" applyAlignment="1">
      <alignment horizontal="center" vertical="center" wrapText="1"/>
    </xf>
    <xf numFmtId="195" fontId="0" fillId="0" borderId="0" xfId="0" applyNumberFormat="1" applyFill="1" applyAlignment="1">
      <alignment/>
    </xf>
    <xf numFmtId="186" fontId="0" fillId="0" borderId="0" xfId="0" applyNumberFormat="1" applyFill="1" applyAlignment="1">
      <alignment/>
    </xf>
    <xf numFmtId="0" fontId="62" fillId="0" borderId="27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left" vertical="center" wrapText="1"/>
    </xf>
    <xf numFmtId="0" fontId="62" fillId="0" borderId="34" xfId="0" applyFont="1" applyFill="1" applyBorder="1" applyAlignment="1">
      <alignment horizontal="left" vertical="center" wrapText="1"/>
    </xf>
    <xf numFmtId="0" fontId="62" fillId="0" borderId="32" xfId="0" applyFont="1" applyFill="1" applyBorder="1" applyAlignment="1">
      <alignment horizontal="left" vertical="center" wrapText="1"/>
    </xf>
    <xf numFmtId="43" fontId="62" fillId="0" borderId="32" xfId="6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0" fontId="62" fillId="0" borderId="0" xfId="0" applyFont="1" applyFill="1" applyAlignment="1">
      <alignment/>
    </xf>
    <xf numFmtId="0" fontId="62" fillId="35" borderId="30" xfId="0" applyFont="1" applyFill="1" applyBorder="1" applyAlignment="1">
      <alignment horizontal="center" vertical="center" wrapText="1"/>
    </xf>
    <xf numFmtId="0" fontId="62" fillId="35" borderId="26" xfId="0" applyFont="1" applyFill="1" applyBorder="1" applyAlignment="1">
      <alignment horizontal="center" vertical="center" wrapText="1"/>
    </xf>
    <xf numFmtId="0" fontId="62" fillId="35" borderId="28" xfId="0" applyFont="1" applyFill="1" applyBorder="1" applyAlignment="1">
      <alignment horizontal="center" vertical="center" wrapText="1"/>
    </xf>
    <xf numFmtId="0" fontId="62" fillId="35" borderId="2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7" fillId="0" borderId="26" xfId="0" applyFont="1" applyFill="1" applyBorder="1" applyAlignment="1">
      <alignment horizontal="center" wrapText="1"/>
    </xf>
    <xf numFmtId="2" fontId="67" fillId="0" borderId="28" xfId="0" applyNumberFormat="1" applyFont="1" applyFill="1" applyBorder="1" applyAlignment="1">
      <alignment horizontal="center" wrapText="1"/>
    </xf>
    <xf numFmtId="4" fontId="67" fillId="0" borderId="28" xfId="6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4" fontId="67" fillId="0" borderId="28" xfId="0" applyNumberFormat="1" applyFont="1" applyFill="1" applyBorder="1" applyAlignment="1">
      <alignment horizontal="center" wrapText="1"/>
    </xf>
    <xf numFmtId="43" fontId="67" fillId="0" borderId="26" xfId="60" applyFont="1" applyFill="1" applyBorder="1" applyAlignment="1">
      <alignment horizontal="center" wrapText="1"/>
    </xf>
    <xf numFmtId="4" fontId="62" fillId="0" borderId="34" xfId="60" applyNumberFormat="1" applyFont="1" applyFill="1" applyBorder="1" applyAlignment="1">
      <alignment horizontal="center" vertical="center" wrapText="1"/>
    </xf>
    <xf numFmtId="4" fontId="62" fillId="0" borderId="27" xfId="60" applyNumberFormat="1" applyFont="1" applyFill="1" applyBorder="1" applyAlignment="1">
      <alignment horizontal="center" vertical="center" wrapText="1"/>
    </xf>
    <xf numFmtId="202" fontId="62" fillId="0" borderId="13" xfId="60" applyNumberFormat="1" applyFont="1" applyFill="1" applyBorder="1" applyAlignment="1">
      <alignment horizontal="center" vertical="center" wrapText="1"/>
    </xf>
    <xf numFmtId="202" fontId="62" fillId="0" borderId="23" xfId="60" applyNumberFormat="1" applyFont="1" applyFill="1" applyBorder="1" applyAlignment="1">
      <alignment horizontal="center" vertical="center" wrapText="1"/>
    </xf>
    <xf numFmtId="202" fontId="62" fillId="0" borderId="34" xfId="60" applyNumberFormat="1" applyFont="1" applyFill="1" applyBorder="1" applyAlignment="1">
      <alignment horizontal="center" vertical="center" wrapText="1"/>
    </xf>
    <xf numFmtId="202" fontId="62" fillId="0" borderId="27" xfId="60" applyNumberFormat="1" applyFont="1" applyFill="1" applyBorder="1" applyAlignment="1">
      <alignment horizontal="center" vertical="center" wrapText="1"/>
    </xf>
    <xf numFmtId="202" fontId="67" fillId="0" borderId="28" xfId="60" applyNumberFormat="1" applyFont="1" applyFill="1" applyBorder="1" applyAlignment="1">
      <alignment horizontal="center" wrapText="1"/>
    </xf>
    <xf numFmtId="0" fontId="62" fillId="0" borderId="26" xfId="0" applyFont="1" applyFill="1" applyBorder="1" applyAlignment="1">
      <alignment horizontal="center" wrapText="1"/>
    </xf>
    <xf numFmtId="0" fontId="62" fillId="0" borderId="28" xfId="0" applyFont="1" applyFill="1" applyBorder="1" applyAlignment="1">
      <alignment horizontal="center" wrapText="1"/>
    </xf>
    <xf numFmtId="43" fontId="0" fillId="0" borderId="0" xfId="0" applyNumberFormat="1" applyFill="1" applyAlignment="1">
      <alignment/>
    </xf>
    <xf numFmtId="202" fontId="62" fillId="0" borderId="23" xfId="0" applyNumberFormat="1" applyFont="1" applyFill="1" applyBorder="1" applyAlignment="1">
      <alignment horizontal="center" vertical="center" wrapText="1"/>
    </xf>
    <xf numFmtId="202" fontId="62" fillId="0" borderId="27" xfId="0" applyNumberFormat="1" applyFont="1" applyFill="1" applyBorder="1" applyAlignment="1">
      <alignment horizontal="center" vertical="center" wrapText="1"/>
    </xf>
    <xf numFmtId="202" fontId="67" fillId="0" borderId="28" xfId="0" applyNumberFormat="1" applyFont="1" applyFill="1" applyBorder="1" applyAlignment="1">
      <alignment horizontal="center" wrapText="1"/>
    </xf>
    <xf numFmtId="4" fontId="0" fillId="0" borderId="0" xfId="0" applyNumberFormat="1" applyFill="1" applyAlignment="1">
      <alignment horizontal="center" vertical="center"/>
    </xf>
    <xf numFmtId="49" fontId="62" fillId="33" borderId="22" xfId="0" applyNumberFormat="1" applyFont="1" applyFill="1" applyBorder="1" applyAlignment="1">
      <alignment horizontal="center" vertical="center" wrapText="1"/>
    </xf>
    <xf numFmtId="49" fontId="62" fillId="33" borderId="35" xfId="0" applyNumberFormat="1" applyFont="1" applyFill="1" applyBorder="1" applyAlignment="1">
      <alignment horizontal="center" vertical="center" wrapText="1"/>
    </xf>
    <xf numFmtId="4" fontId="62" fillId="33" borderId="13" xfId="60" applyNumberFormat="1" applyFont="1" applyFill="1" applyBorder="1" applyAlignment="1">
      <alignment horizontal="center" vertical="center" wrapText="1"/>
    </xf>
    <xf numFmtId="4" fontId="62" fillId="33" borderId="23" xfId="60" applyNumberFormat="1" applyFont="1" applyFill="1" applyBorder="1" applyAlignment="1">
      <alignment horizontal="center" vertical="center" wrapText="1"/>
    </xf>
    <xf numFmtId="4" fontId="62" fillId="33" borderId="24" xfId="60" applyNumberFormat="1" applyFont="1" applyFill="1" applyBorder="1" applyAlignment="1">
      <alignment horizontal="center" vertical="center" wrapText="1"/>
    </xf>
    <xf numFmtId="4" fontId="62" fillId="33" borderId="36" xfId="60" applyNumberFormat="1" applyFont="1" applyFill="1" applyBorder="1" applyAlignment="1">
      <alignment horizontal="center" vertical="center" wrapText="1"/>
    </xf>
    <xf numFmtId="4" fontId="67" fillId="33" borderId="26" xfId="60" applyNumberFormat="1" applyFont="1" applyFill="1" applyBorder="1" applyAlignment="1">
      <alignment horizontal="center" vertical="center" wrapText="1"/>
    </xf>
    <xf numFmtId="4" fontId="67" fillId="33" borderId="28" xfId="60" applyNumberFormat="1" applyFont="1" applyFill="1" applyBorder="1" applyAlignment="1">
      <alignment horizontal="center" vertical="center" wrapText="1"/>
    </xf>
    <xf numFmtId="3" fontId="62" fillId="33" borderId="13" xfId="0" applyNumberFormat="1" applyFont="1" applyFill="1" applyBorder="1" applyAlignment="1">
      <alignment horizontal="center" vertical="center" wrapText="1"/>
    </xf>
    <xf numFmtId="3" fontId="62" fillId="33" borderId="24" xfId="0" applyNumberFormat="1" applyFont="1" applyFill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4" fontId="64" fillId="0" borderId="12" xfId="0" applyNumberFormat="1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4" fontId="62" fillId="0" borderId="23" xfId="0" applyNumberFormat="1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 wrapText="1"/>
    </xf>
    <xf numFmtId="0" fontId="62" fillId="0" borderId="32" xfId="0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0" fontId="65" fillId="35" borderId="24" xfId="0" applyFont="1" applyFill="1" applyBorder="1" applyAlignment="1">
      <alignment horizontal="center" vertical="center" wrapText="1"/>
    </xf>
    <xf numFmtId="0" fontId="65" fillId="35" borderId="36" xfId="0" applyFont="1" applyFill="1" applyBorder="1" applyAlignment="1">
      <alignment horizontal="center" vertical="center" wrapText="1"/>
    </xf>
    <xf numFmtId="49" fontId="6" fillId="36" borderId="13" xfId="0" applyNumberFormat="1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4" fontId="6" fillId="36" borderId="13" xfId="0" applyNumberFormat="1" applyFont="1" applyFill="1" applyBorder="1" applyAlignment="1">
      <alignment horizontal="center" vertical="center" wrapText="1"/>
    </xf>
    <xf numFmtId="49" fontId="67" fillId="33" borderId="13" xfId="0" applyNumberFormat="1" applyFont="1" applyFill="1" applyBorder="1" applyAlignment="1">
      <alignment horizontal="center" vertical="center" wrapText="1"/>
    </xf>
    <xf numFmtId="49" fontId="62" fillId="33" borderId="13" xfId="0" applyNumberFormat="1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horizontal="center" vertical="center" wrapText="1"/>
    </xf>
    <xf numFmtId="4" fontId="69" fillId="33" borderId="13" xfId="0" applyNumberFormat="1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left" vertical="center" wrapText="1"/>
    </xf>
    <xf numFmtId="4" fontId="6" fillId="36" borderId="23" xfId="0" applyNumberFormat="1" applyFont="1" applyFill="1" applyBorder="1" applyAlignment="1">
      <alignment horizontal="center" vertical="center" wrapText="1"/>
    </xf>
    <xf numFmtId="0" fontId="62" fillId="0" borderId="22" xfId="0" applyFont="1" applyBorder="1" applyAlignment="1">
      <alignment horizontal="left" vertical="center" wrapText="1" indent="1"/>
    </xf>
    <xf numFmtId="0" fontId="67" fillId="33" borderId="22" xfId="0" applyFont="1" applyFill="1" applyBorder="1" applyAlignment="1">
      <alignment horizontal="left" vertical="center" wrapText="1" indent="1"/>
    </xf>
    <xf numFmtId="4" fontId="67" fillId="33" borderId="23" xfId="0" applyNumberFormat="1" applyFont="1" applyFill="1" applyBorder="1" applyAlignment="1">
      <alignment horizontal="center" vertical="center" wrapText="1"/>
    </xf>
    <xf numFmtId="0" fontId="62" fillId="33" borderId="22" xfId="0" applyFont="1" applyFill="1" applyBorder="1" applyAlignment="1">
      <alignment horizontal="left" vertical="center" wrapText="1" indent="1"/>
    </xf>
    <xf numFmtId="0" fontId="67" fillId="33" borderId="22" xfId="0" applyFont="1" applyFill="1" applyBorder="1" applyAlignment="1">
      <alignment horizontal="left" vertical="center" wrapText="1"/>
    </xf>
    <xf numFmtId="4" fontId="69" fillId="33" borderId="23" xfId="0" applyNumberFormat="1" applyFont="1" applyFill="1" applyBorder="1" applyAlignment="1">
      <alignment horizontal="center" vertical="center" wrapText="1"/>
    </xf>
    <xf numFmtId="0" fontId="62" fillId="33" borderId="22" xfId="0" applyFont="1" applyFill="1" applyBorder="1" applyAlignment="1">
      <alignment vertical="center" wrapText="1"/>
    </xf>
    <xf numFmtId="0" fontId="67" fillId="33" borderId="22" xfId="0" applyFont="1" applyFill="1" applyBorder="1" applyAlignment="1">
      <alignment vertical="center" wrapText="1"/>
    </xf>
    <xf numFmtId="0" fontId="62" fillId="33" borderId="22" xfId="0" applyFont="1" applyFill="1" applyBorder="1" applyAlignment="1">
      <alignment horizontal="left" vertical="center" wrapText="1"/>
    </xf>
    <xf numFmtId="0" fontId="62" fillId="33" borderId="22" xfId="0" applyFont="1" applyFill="1" applyBorder="1" applyAlignment="1">
      <alignment horizontal="left" vertical="center" wrapText="1" indent="2"/>
    </xf>
    <xf numFmtId="0" fontId="62" fillId="0" borderId="22" xfId="0" applyFont="1" applyBorder="1" applyAlignment="1">
      <alignment horizontal="left" vertical="center" wrapText="1"/>
    </xf>
    <xf numFmtId="0" fontId="67" fillId="0" borderId="35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center" vertical="center" wrapText="1"/>
    </xf>
    <xf numFmtId="4" fontId="67" fillId="0" borderId="24" xfId="0" applyNumberFormat="1" applyFont="1" applyBorder="1" applyAlignment="1">
      <alignment horizontal="center" vertical="center" wrapText="1"/>
    </xf>
    <xf numFmtId="4" fontId="67" fillId="0" borderId="36" xfId="0" applyNumberFormat="1" applyFont="1" applyBorder="1" applyAlignment="1">
      <alignment horizontal="center" vertical="center" wrapText="1"/>
    </xf>
    <xf numFmtId="0" fontId="62" fillId="35" borderId="36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left" vertical="center" wrapText="1" indent="1"/>
    </xf>
    <xf numFmtId="0" fontId="67" fillId="0" borderId="22" xfId="0" applyFont="1" applyFill="1" applyBorder="1" applyAlignment="1">
      <alignment horizontal="left" vertical="center" wrapText="1" indent="1"/>
    </xf>
    <xf numFmtId="49" fontId="67" fillId="0" borderId="13" xfId="0" applyNumberFormat="1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4" fontId="67" fillId="0" borderId="13" xfId="0" applyNumberFormat="1" applyFont="1" applyFill="1" applyBorder="1" applyAlignment="1">
      <alignment horizontal="center" vertical="center" wrapText="1"/>
    </xf>
    <xf numFmtId="4" fontId="67" fillId="0" borderId="23" xfId="0" applyNumberFormat="1" applyFont="1" applyFill="1" applyBorder="1" applyAlignment="1">
      <alignment horizontal="center" vertical="center" wrapText="1"/>
    </xf>
    <xf numFmtId="49" fontId="62" fillId="0" borderId="13" xfId="0" applyNumberFormat="1" applyFont="1" applyFill="1" applyBorder="1" applyAlignment="1">
      <alignment horizontal="center" vertical="center" wrapText="1"/>
    </xf>
    <xf numFmtId="0" fontId="67" fillId="0" borderId="22" xfId="0" applyFont="1" applyFill="1" applyBorder="1" applyAlignment="1">
      <alignment horizontal="left" vertical="center" wrapText="1"/>
    </xf>
    <xf numFmtId="0" fontId="62" fillId="0" borderId="22" xfId="0" applyFont="1" applyFill="1" applyBorder="1" applyAlignment="1">
      <alignment vertical="center" wrapText="1"/>
    </xf>
    <xf numFmtId="0" fontId="67" fillId="0" borderId="22" xfId="0" applyFont="1" applyFill="1" applyBorder="1" applyAlignment="1">
      <alignment vertical="center" wrapText="1"/>
    </xf>
    <xf numFmtId="0" fontId="62" fillId="0" borderId="22" xfId="0" applyFont="1" applyFill="1" applyBorder="1" applyAlignment="1">
      <alignment horizontal="left" vertical="center" wrapText="1"/>
    </xf>
    <xf numFmtId="0" fontId="62" fillId="0" borderId="22" xfId="0" applyFont="1" applyFill="1" applyBorder="1" applyAlignment="1">
      <alignment horizontal="left" vertical="center" wrapText="1" indent="2"/>
    </xf>
    <xf numFmtId="0" fontId="67" fillId="0" borderId="35" xfId="0" applyFont="1" applyFill="1" applyBorder="1" applyAlignment="1">
      <alignment horizontal="left" vertical="center" wrapText="1"/>
    </xf>
    <xf numFmtId="49" fontId="67" fillId="0" borderId="24" xfId="0" applyNumberFormat="1" applyFont="1" applyFill="1" applyBorder="1" applyAlignment="1">
      <alignment horizontal="center" vertical="center" wrapText="1"/>
    </xf>
    <xf numFmtId="0" fontId="67" fillId="0" borderId="24" xfId="0" applyFont="1" applyFill="1" applyBorder="1" applyAlignment="1">
      <alignment horizontal="center" vertical="center" wrapText="1"/>
    </xf>
    <xf numFmtId="4" fontId="67" fillId="0" borderId="24" xfId="0" applyNumberFormat="1" applyFont="1" applyFill="1" applyBorder="1" applyAlignment="1">
      <alignment horizontal="center" vertical="center" wrapText="1"/>
    </xf>
    <xf numFmtId="0" fontId="69" fillId="36" borderId="22" xfId="0" applyFont="1" applyFill="1" applyBorder="1" applyAlignment="1">
      <alignment horizontal="left" vertical="center" wrapText="1"/>
    </xf>
    <xf numFmtId="49" fontId="69" fillId="36" borderId="13" xfId="0" applyNumberFormat="1" applyFont="1" applyFill="1" applyBorder="1" applyAlignment="1">
      <alignment horizontal="center" vertical="center" wrapText="1"/>
    </xf>
    <xf numFmtId="0" fontId="69" fillId="36" borderId="13" xfId="0" applyFont="1" applyFill="1" applyBorder="1" applyAlignment="1">
      <alignment horizontal="center" vertical="center" wrapText="1"/>
    </xf>
    <xf numFmtId="4" fontId="69" fillId="36" borderId="13" xfId="0" applyNumberFormat="1" applyFont="1" applyFill="1" applyBorder="1" applyAlignment="1">
      <alignment horizontal="center" vertical="center" wrapText="1"/>
    </xf>
    <xf numFmtId="4" fontId="69" fillId="36" borderId="23" xfId="0" applyNumberFormat="1" applyFont="1" applyFill="1" applyBorder="1" applyAlignment="1">
      <alignment horizontal="center" vertical="center" wrapText="1"/>
    </xf>
    <xf numFmtId="0" fontId="69" fillId="33" borderId="22" xfId="0" applyFont="1" applyFill="1" applyBorder="1" applyAlignment="1">
      <alignment vertical="center" wrapText="1"/>
    </xf>
    <xf numFmtId="0" fontId="71" fillId="33" borderId="22" xfId="0" applyFont="1" applyFill="1" applyBorder="1" applyAlignment="1">
      <alignment vertical="center" wrapText="1"/>
    </xf>
    <xf numFmtId="0" fontId="71" fillId="33" borderId="13" xfId="0" applyFont="1" applyFill="1" applyBorder="1" applyAlignment="1">
      <alignment horizontal="center" vertical="center" wrapText="1"/>
    </xf>
    <xf numFmtId="4" fontId="71" fillId="33" borderId="13" xfId="0" applyNumberFormat="1" applyFont="1" applyFill="1" applyBorder="1" applyAlignment="1">
      <alignment horizontal="center" vertical="center" wrapText="1"/>
    </xf>
    <xf numFmtId="4" fontId="71" fillId="33" borderId="23" xfId="0" applyNumberFormat="1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vertical="center" wrapText="1"/>
    </xf>
    <xf numFmtId="0" fontId="64" fillId="33" borderId="22" xfId="0" applyFont="1" applyFill="1" applyBorder="1" applyAlignment="1">
      <alignment horizontal="left" vertical="center" wrapText="1"/>
    </xf>
    <xf numFmtId="0" fontId="64" fillId="33" borderId="13" xfId="0" applyFont="1" applyFill="1" applyBorder="1" applyAlignment="1">
      <alignment horizontal="center" vertical="center" wrapText="1"/>
    </xf>
    <xf numFmtId="4" fontId="64" fillId="33" borderId="13" xfId="0" applyNumberFormat="1" applyFont="1" applyFill="1" applyBorder="1" applyAlignment="1">
      <alignment horizontal="center" vertical="center" wrapText="1"/>
    </xf>
    <xf numFmtId="4" fontId="64" fillId="33" borderId="23" xfId="0" applyNumberFormat="1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vertical="center" wrapText="1"/>
    </xf>
    <xf numFmtId="0" fontId="62" fillId="33" borderId="35" xfId="0" applyFont="1" applyFill="1" applyBorder="1" applyAlignment="1">
      <alignment vertical="center" wrapText="1"/>
    </xf>
    <xf numFmtId="0" fontId="64" fillId="33" borderId="24" xfId="0" applyFont="1" applyFill="1" applyBorder="1" applyAlignment="1">
      <alignment horizontal="center" vertical="center" wrapText="1"/>
    </xf>
    <xf numFmtId="4" fontId="67" fillId="33" borderId="24" xfId="0" applyNumberFormat="1" applyFont="1" applyFill="1" applyBorder="1" applyAlignment="1">
      <alignment horizontal="center" vertical="center" wrapText="1"/>
    </xf>
    <xf numFmtId="4" fontId="64" fillId="33" borderId="24" xfId="0" applyNumberFormat="1" applyFont="1" applyFill="1" applyBorder="1" applyAlignment="1">
      <alignment horizontal="center" vertical="center" wrapText="1"/>
    </xf>
    <xf numFmtId="4" fontId="64" fillId="33" borderId="36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62" fillId="33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9" fontId="62" fillId="0" borderId="13" xfId="0" applyNumberFormat="1" applyFont="1" applyBorder="1" applyAlignment="1">
      <alignment horizontal="center" vertical="center" wrapText="1"/>
    </xf>
    <xf numFmtId="49" fontId="67" fillId="0" borderId="24" xfId="0" applyNumberFormat="1" applyFont="1" applyBorder="1" applyAlignment="1">
      <alignment horizontal="center" vertical="center" wrapText="1"/>
    </xf>
    <xf numFmtId="4" fontId="7" fillId="33" borderId="0" xfId="0" applyNumberFormat="1" applyFont="1" applyFill="1" applyAlignment="1">
      <alignment horizontal="center" vertical="center" wrapText="1"/>
    </xf>
    <xf numFmtId="4" fontId="62" fillId="0" borderId="22" xfId="0" applyNumberFormat="1" applyFont="1" applyBorder="1" applyAlignment="1">
      <alignment horizontal="left" vertical="center" wrapText="1"/>
    </xf>
    <xf numFmtId="4" fontId="62" fillId="0" borderId="22" xfId="0" applyNumberFormat="1" applyFont="1" applyFill="1" applyBorder="1" applyAlignment="1">
      <alignment horizontal="left" vertical="center" wrapText="1"/>
    </xf>
    <xf numFmtId="4" fontId="62" fillId="0" borderId="35" xfId="0" applyNumberFormat="1" applyFont="1" applyFill="1" applyBorder="1" applyAlignment="1">
      <alignment horizontal="left" vertical="center" wrapText="1"/>
    </xf>
    <xf numFmtId="4" fontId="62" fillId="0" borderId="36" xfId="0" applyNumberFormat="1" applyFont="1" applyFill="1" applyBorder="1" applyAlignment="1">
      <alignment horizontal="center" vertical="center" wrapText="1"/>
    </xf>
    <xf numFmtId="4" fontId="62" fillId="0" borderId="33" xfId="0" applyNumberFormat="1" applyFont="1" applyBorder="1" applyAlignment="1">
      <alignment horizontal="left" vertical="center" wrapText="1"/>
    </xf>
    <xf numFmtId="4" fontId="62" fillId="0" borderId="27" xfId="0" applyNumberFormat="1" applyFont="1" applyBorder="1" applyAlignment="1">
      <alignment horizontal="center" vertical="center" wrapText="1"/>
    </xf>
    <xf numFmtId="4" fontId="62" fillId="0" borderId="31" xfId="0" applyNumberFormat="1" applyFont="1" applyBorder="1" applyAlignment="1">
      <alignment horizontal="left" vertical="center" wrapText="1"/>
    </xf>
    <xf numFmtId="4" fontId="62" fillId="0" borderId="29" xfId="0" applyNumberFormat="1" applyFont="1" applyBorder="1" applyAlignment="1">
      <alignment horizontal="center" vertical="center" wrapText="1"/>
    </xf>
    <xf numFmtId="0" fontId="62" fillId="0" borderId="24" xfId="0" applyFont="1" applyBorder="1" applyAlignment="1">
      <alignment horizontal="left" vertical="center" wrapText="1"/>
    </xf>
    <xf numFmtId="0" fontId="62" fillId="0" borderId="13" xfId="0" applyFont="1" applyBorder="1" applyAlignment="1">
      <alignment horizontal="center" vertical="center" wrapText="1"/>
    </xf>
    <xf numFmtId="43" fontId="0" fillId="0" borderId="0" xfId="0" applyNumberFormat="1" applyFill="1" applyAlignment="1">
      <alignment/>
    </xf>
    <xf numFmtId="43" fontId="0" fillId="0" borderId="0" xfId="60" applyFont="1" applyFill="1" applyAlignment="1">
      <alignment horizontal="center"/>
    </xf>
    <xf numFmtId="4" fontId="62" fillId="0" borderId="23" xfId="0" applyNumberFormat="1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4" fontId="62" fillId="0" borderId="13" xfId="0" applyNumberFormat="1" applyFont="1" applyFill="1" applyBorder="1" applyAlignment="1">
      <alignment horizontal="center" vertical="center" wrapText="1"/>
    </xf>
    <xf numFmtId="4" fontId="67" fillId="0" borderId="13" xfId="0" applyNumberFormat="1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3" fontId="0" fillId="0" borderId="0" xfId="60" applyFont="1" applyFill="1" applyAlignment="1">
      <alignment/>
    </xf>
    <xf numFmtId="0" fontId="0" fillId="0" borderId="0" xfId="0" applyFill="1" applyAlignment="1">
      <alignment horizontal="right"/>
    </xf>
    <xf numFmtId="43" fontId="0" fillId="0" borderId="0" xfId="60" applyFont="1" applyFill="1" applyAlignment="1">
      <alignment/>
    </xf>
    <xf numFmtId="4" fontId="0" fillId="0" borderId="0" xfId="0" applyNumberFormat="1" applyFill="1" applyAlignment="1">
      <alignment vertic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right" vertical="center"/>
    </xf>
    <xf numFmtId="43" fontId="0" fillId="0" borderId="0" xfId="0" applyNumberFormat="1" applyFill="1" applyAlignment="1">
      <alignment horizontal="center" vertical="center"/>
    </xf>
    <xf numFmtId="4" fontId="64" fillId="0" borderId="0" xfId="0" applyNumberFormat="1" applyFont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62" fillId="0" borderId="0" xfId="0" applyNumberFormat="1" applyFont="1" applyFill="1" applyAlignment="1">
      <alignment/>
    </xf>
    <xf numFmtId="4" fontId="64" fillId="0" borderId="0" xfId="0" applyNumberFormat="1" applyFont="1" applyFill="1" applyAlignment="1">
      <alignment/>
    </xf>
    <xf numFmtId="4" fontId="62" fillId="0" borderId="0" xfId="0" applyNumberFormat="1" applyFont="1" applyFill="1" applyAlignment="1">
      <alignment horizontal="center" vertical="center"/>
    </xf>
    <xf numFmtId="4" fontId="62" fillId="0" borderId="23" xfId="0" applyNumberFormat="1" applyFont="1" applyBorder="1" applyAlignment="1">
      <alignment horizontal="center" vertical="center" wrapText="1"/>
    </xf>
    <xf numFmtId="0" fontId="62" fillId="35" borderId="24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4" fontId="62" fillId="0" borderId="13" xfId="0" applyNumberFormat="1" applyFont="1" applyFill="1" applyBorder="1" applyAlignment="1">
      <alignment horizontal="center" vertical="center" wrapText="1"/>
    </xf>
    <xf numFmtId="4" fontId="62" fillId="0" borderId="23" xfId="0" applyNumberFormat="1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62" fillId="0" borderId="22" xfId="0" applyFont="1" applyBorder="1" applyAlignment="1">
      <alignment horizontal="center" vertical="center" wrapText="1"/>
    </xf>
    <xf numFmtId="0" fontId="62" fillId="0" borderId="35" xfId="0" applyFont="1" applyBorder="1" applyAlignment="1">
      <alignment horizontal="center" vertical="center" wrapText="1"/>
    </xf>
    <xf numFmtId="4" fontId="62" fillId="0" borderId="23" xfId="0" applyNumberFormat="1" applyFont="1" applyBorder="1" applyAlignment="1">
      <alignment horizontal="center" vertical="center" wrapText="1"/>
    </xf>
    <xf numFmtId="4" fontId="62" fillId="0" borderId="36" xfId="0" applyNumberFormat="1" applyFont="1" applyBorder="1" applyAlignment="1">
      <alignment horizontal="center" vertical="center" wrapText="1"/>
    </xf>
    <xf numFmtId="4" fontId="62" fillId="0" borderId="13" xfId="0" applyNumberFormat="1" applyFont="1" applyFill="1" applyBorder="1" applyAlignment="1">
      <alignment horizontal="left" vertical="center" wrapText="1"/>
    </xf>
    <xf numFmtId="4" fontId="62" fillId="0" borderId="24" xfId="0" applyNumberFormat="1" applyFont="1" applyFill="1" applyBorder="1" applyAlignment="1">
      <alignment horizontal="left" vertical="center" wrapText="1"/>
    </xf>
    <xf numFmtId="0" fontId="62" fillId="0" borderId="0" xfId="0" applyFont="1" applyAlignment="1">
      <alignment horizontal="center" vertical="center" wrapText="1"/>
    </xf>
    <xf numFmtId="0" fontId="73" fillId="0" borderId="0" xfId="0" applyFont="1" applyAlignment="1">
      <alignment horizontal="center"/>
    </xf>
    <xf numFmtId="0" fontId="62" fillId="0" borderId="0" xfId="0" applyFont="1" applyAlignment="1">
      <alignment horizontal="center" vertical="top"/>
    </xf>
    <xf numFmtId="0" fontId="62" fillId="0" borderId="33" xfId="0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 wrapText="1"/>
    </xf>
    <xf numFmtId="4" fontId="62" fillId="0" borderId="13" xfId="0" applyNumberFormat="1" applyFont="1" applyBorder="1" applyAlignment="1">
      <alignment horizontal="left" vertical="center" wrapText="1"/>
    </xf>
    <xf numFmtId="4" fontId="62" fillId="0" borderId="34" xfId="0" applyNumberFormat="1" applyFont="1" applyBorder="1" applyAlignment="1">
      <alignment horizontal="left" vertical="center" wrapText="1"/>
    </xf>
    <xf numFmtId="4" fontId="62" fillId="0" borderId="30" xfId="0" applyNumberFormat="1" applyFont="1" applyBorder="1" applyAlignment="1">
      <alignment horizontal="left" vertical="center" wrapText="1"/>
    </xf>
    <xf numFmtId="4" fontId="62" fillId="0" borderId="26" xfId="0" applyNumberFormat="1" applyFont="1" applyBorder="1" applyAlignment="1">
      <alignment horizontal="left" vertical="center" wrapText="1"/>
    </xf>
    <xf numFmtId="4" fontId="62" fillId="0" borderId="28" xfId="0" applyNumberFormat="1" applyFont="1" applyBorder="1" applyAlignment="1">
      <alignment horizontal="left" vertical="center" wrapText="1"/>
    </xf>
    <xf numFmtId="4" fontId="62" fillId="0" borderId="32" xfId="0" applyNumberFormat="1" applyFont="1" applyBorder="1" applyAlignment="1">
      <alignment horizontal="left" vertical="center" wrapText="1"/>
    </xf>
    <xf numFmtId="0" fontId="62" fillId="0" borderId="0" xfId="0" applyFont="1" applyAlignment="1">
      <alignment horizontal="left" vertical="center" wrapText="1"/>
    </xf>
    <xf numFmtId="0" fontId="62" fillId="0" borderId="30" xfId="0" applyFont="1" applyBorder="1" applyAlignment="1">
      <alignment horizontal="left" vertical="center" wrapText="1"/>
    </xf>
    <xf numFmtId="0" fontId="62" fillId="0" borderId="26" xfId="0" applyFont="1" applyBorder="1" applyAlignment="1">
      <alignment horizontal="left" vertical="center" wrapText="1"/>
    </xf>
    <xf numFmtId="0" fontId="62" fillId="0" borderId="28" xfId="0" applyFont="1" applyBorder="1" applyAlignment="1">
      <alignment horizontal="left" vertical="center" wrapText="1"/>
    </xf>
    <xf numFmtId="0" fontId="62" fillId="0" borderId="0" xfId="0" applyFont="1" applyAlignment="1">
      <alignment vertical="center" wrapText="1"/>
    </xf>
    <xf numFmtId="0" fontId="62" fillId="0" borderId="0" xfId="0" applyFont="1" applyBorder="1" applyAlignment="1">
      <alignment horizontal="right" vertical="center" wrapText="1"/>
    </xf>
    <xf numFmtId="0" fontId="62" fillId="0" borderId="11" xfId="0" applyFont="1" applyBorder="1" applyAlignment="1">
      <alignment horizontal="right" vertical="center" wrapText="1"/>
    </xf>
    <xf numFmtId="0" fontId="74" fillId="0" borderId="0" xfId="42" applyFont="1" applyBorder="1" applyAlignment="1">
      <alignment horizontal="right" vertical="center" wrapText="1"/>
    </xf>
    <xf numFmtId="0" fontId="74" fillId="0" borderId="11" xfId="42" applyFont="1" applyBorder="1" applyAlignment="1">
      <alignment horizontal="right" vertical="center" wrapText="1"/>
    </xf>
    <xf numFmtId="0" fontId="62" fillId="0" borderId="0" xfId="0" applyFont="1" applyAlignment="1">
      <alignment horizontal="center" vertical="center"/>
    </xf>
    <xf numFmtId="0" fontId="67" fillId="0" borderId="0" xfId="0" applyFont="1" applyAlignment="1">
      <alignment horizontal="right" vertical="center" wrapText="1"/>
    </xf>
    <xf numFmtId="0" fontId="62" fillId="0" borderId="0" xfId="0" applyFont="1" applyAlignment="1">
      <alignment horizontal="right" vertical="center" wrapText="1"/>
    </xf>
    <xf numFmtId="0" fontId="64" fillId="0" borderId="37" xfId="0" applyFont="1" applyBorder="1" applyAlignment="1">
      <alignment horizontal="center" vertical="center" wrapText="1"/>
    </xf>
    <xf numFmtId="0" fontId="67" fillId="0" borderId="38" xfId="0" applyFont="1" applyBorder="1" applyAlignment="1">
      <alignment horizontal="center" vertical="center" wrapText="1"/>
    </xf>
    <xf numFmtId="0" fontId="67" fillId="0" borderId="38" xfId="0" applyFont="1" applyBorder="1" applyAlignment="1">
      <alignment horizontal="right" vertical="center" wrapText="1"/>
    </xf>
    <xf numFmtId="0" fontId="64" fillId="0" borderId="37" xfId="0" applyFont="1" applyBorder="1" applyAlignment="1">
      <alignment horizontal="right" wrapText="1"/>
    </xf>
    <xf numFmtId="0" fontId="62" fillId="0" borderId="37" xfId="0" applyFont="1" applyBorder="1" applyAlignment="1">
      <alignment horizontal="right" vertical="center" wrapText="1"/>
    </xf>
    <xf numFmtId="0" fontId="62" fillId="0" borderId="38" xfId="0" applyFont="1" applyBorder="1" applyAlignment="1">
      <alignment horizontal="right" wrapText="1"/>
    </xf>
    <xf numFmtId="0" fontId="48" fillId="35" borderId="20" xfId="42" applyFill="1" applyBorder="1" applyAlignment="1">
      <alignment horizontal="center" vertical="center" wrapText="1"/>
    </xf>
    <xf numFmtId="0" fontId="48" fillId="35" borderId="22" xfId="42" applyFill="1" applyBorder="1" applyAlignment="1">
      <alignment horizontal="center" vertical="center" wrapText="1"/>
    </xf>
    <xf numFmtId="0" fontId="48" fillId="35" borderId="35" xfId="42" applyFill="1" applyBorder="1" applyAlignment="1">
      <alignment horizontal="center" vertical="center" wrapText="1"/>
    </xf>
    <xf numFmtId="0" fontId="62" fillId="35" borderId="21" xfId="0" applyFont="1" applyFill="1" applyBorder="1" applyAlignment="1">
      <alignment horizontal="center" vertical="center" wrapText="1"/>
    </xf>
    <xf numFmtId="0" fontId="62" fillId="35" borderId="13" xfId="0" applyFont="1" applyFill="1" applyBorder="1" applyAlignment="1">
      <alignment horizontal="center" vertical="center" wrapText="1"/>
    </xf>
    <xf numFmtId="0" fontId="62" fillId="35" borderId="24" xfId="0" applyFont="1" applyFill="1" applyBorder="1" applyAlignment="1">
      <alignment horizontal="center" vertical="center" wrapText="1"/>
    </xf>
    <xf numFmtId="0" fontId="62" fillId="35" borderId="25" xfId="0" applyFont="1" applyFill="1" applyBorder="1" applyAlignment="1">
      <alignment horizontal="center" vertical="center" wrapText="1"/>
    </xf>
    <xf numFmtId="0" fontId="62" fillId="35" borderId="23" xfId="0" applyFont="1" applyFill="1" applyBorder="1" applyAlignment="1">
      <alignment horizontal="center" vertical="center" wrapText="1"/>
    </xf>
    <xf numFmtId="0" fontId="48" fillId="35" borderId="13" xfId="42" applyFill="1" applyBorder="1" applyAlignment="1">
      <alignment horizontal="center" vertical="center" wrapText="1"/>
    </xf>
    <xf numFmtId="0" fontId="48" fillId="35" borderId="24" xfId="42" applyFill="1" applyBorder="1" applyAlignment="1">
      <alignment horizontal="center" vertical="center" wrapText="1"/>
    </xf>
    <xf numFmtId="49" fontId="67" fillId="33" borderId="13" xfId="0" applyNumberFormat="1" applyFont="1" applyFill="1" applyBorder="1" applyAlignment="1">
      <alignment horizontal="center" vertical="center" wrapText="1"/>
    </xf>
    <xf numFmtId="0" fontId="67" fillId="33" borderId="13" xfId="0" applyFont="1" applyFill="1" applyBorder="1" applyAlignment="1">
      <alignment horizontal="center" vertical="center" wrapText="1"/>
    </xf>
    <xf numFmtId="4" fontId="67" fillId="33" borderId="13" xfId="0" applyNumberFormat="1" applyFont="1" applyFill="1" applyBorder="1" applyAlignment="1">
      <alignment horizontal="center" vertical="center" wrapText="1"/>
    </xf>
    <xf numFmtId="4" fontId="67" fillId="33" borderId="23" xfId="0" applyNumberFormat="1" applyFont="1" applyFill="1" applyBorder="1" applyAlignment="1">
      <alignment horizontal="center" vertical="center" wrapText="1"/>
    </xf>
    <xf numFmtId="49" fontId="62" fillId="0" borderId="13" xfId="0" applyNumberFormat="1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4" fontId="62" fillId="0" borderId="13" xfId="0" applyNumberFormat="1" applyFont="1" applyFill="1" applyBorder="1" applyAlignment="1">
      <alignment horizontal="center" vertical="center" wrapText="1"/>
    </xf>
    <xf numFmtId="4" fontId="62" fillId="0" borderId="23" xfId="0" applyNumberFormat="1" applyFont="1" applyFill="1" applyBorder="1" applyAlignment="1">
      <alignment horizontal="center" vertical="center" wrapText="1"/>
    </xf>
    <xf numFmtId="49" fontId="67" fillId="0" borderId="13" xfId="0" applyNumberFormat="1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4" fontId="67" fillId="0" borderId="13" xfId="0" applyNumberFormat="1" applyFont="1" applyFill="1" applyBorder="1" applyAlignment="1">
      <alignment horizontal="center" vertical="center" wrapText="1"/>
    </xf>
    <xf numFmtId="4" fontId="67" fillId="0" borderId="23" xfId="0" applyNumberFormat="1" applyFont="1" applyFill="1" applyBorder="1" applyAlignment="1">
      <alignment horizontal="center" vertical="center" wrapText="1"/>
    </xf>
    <xf numFmtId="0" fontId="64" fillId="33" borderId="0" xfId="0" applyFont="1" applyFill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7" fillId="33" borderId="22" xfId="0" applyFont="1" applyFill="1" applyBorder="1" applyAlignment="1">
      <alignment horizontal="left" vertical="center" wrapText="1"/>
    </xf>
    <xf numFmtId="0" fontId="48" fillId="35" borderId="23" xfId="42" applyFill="1" applyBorder="1" applyAlignment="1">
      <alignment horizontal="center" vertical="center" wrapText="1"/>
    </xf>
    <xf numFmtId="0" fontId="62" fillId="35" borderId="20" xfId="0" applyFont="1" applyFill="1" applyBorder="1" applyAlignment="1">
      <alignment horizontal="center" vertical="center" wrapText="1"/>
    </xf>
    <xf numFmtId="0" fontId="62" fillId="35" borderId="22" xfId="0" applyFont="1" applyFill="1" applyBorder="1" applyAlignment="1">
      <alignment horizontal="center" vertical="center" wrapText="1"/>
    </xf>
    <xf numFmtId="0" fontId="62" fillId="35" borderId="35" xfId="0" applyFont="1" applyFill="1" applyBorder="1" applyAlignment="1">
      <alignment horizontal="center" vertical="center" wrapText="1"/>
    </xf>
    <xf numFmtId="0" fontId="62" fillId="35" borderId="39" xfId="0" applyFont="1" applyFill="1" applyBorder="1" applyAlignment="1">
      <alignment horizontal="center" vertical="center" wrapText="1"/>
    </xf>
    <xf numFmtId="0" fontId="62" fillId="35" borderId="12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 wrapText="1"/>
    </xf>
    <xf numFmtId="0" fontId="75" fillId="0" borderId="0" xfId="0" applyFont="1" applyAlignment="1">
      <alignment horizontal="center" vertical="top" wrapText="1"/>
    </xf>
    <xf numFmtId="0" fontId="76" fillId="0" borderId="0" xfId="0" applyFont="1" applyAlignment="1">
      <alignment horizontal="center" wrapText="1"/>
    </xf>
    <xf numFmtId="0" fontId="62" fillId="0" borderId="0" xfId="0" applyFont="1" applyAlignment="1">
      <alignment horizontal="left" wrapText="1"/>
    </xf>
    <xf numFmtId="0" fontId="64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7" fillId="0" borderId="15" xfId="0" applyFont="1" applyFill="1" applyBorder="1" applyAlignment="1">
      <alignment horizontal="center" wrapText="1"/>
    </xf>
    <xf numFmtId="0" fontId="67" fillId="0" borderId="40" xfId="0" applyFont="1" applyFill="1" applyBorder="1" applyAlignment="1">
      <alignment horizontal="center" wrapText="1"/>
    </xf>
    <xf numFmtId="0" fontId="67" fillId="0" borderId="15" xfId="0" applyFont="1" applyFill="1" applyBorder="1" applyAlignment="1">
      <alignment horizontal="center" vertical="center" wrapText="1"/>
    </xf>
    <xf numFmtId="0" fontId="67" fillId="0" borderId="40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left"/>
    </xf>
    <xf numFmtId="0" fontId="62" fillId="0" borderId="15" xfId="0" applyFont="1" applyFill="1" applyBorder="1" applyAlignment="1">
      <alignment horizontal="center" wrapText="1"/>
    </xf>
    <xf numFmtId="0" fontId="62" fillId="0" borderId="40" xfId="0" applyFont="1" applyFill="1" applyBorder="1" applyAlignment="1">
      <alignment horizontal="center" wrapText="1"/>
    </xf>
    <xf numFmtId="0" fontId="67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2" fillId="35" borderId="36" xfId="0" applyFont="1" applyFill="1" applyBorder="1" applyAlignment="1">
      <alignment horizontal="center" vertical="center" wrapText="1"/>
    </xf>
    <xf numFmtId="0" fontId="77" fillId="0" borderId="15" xfId="0" applyFont="1" applyFill="1" applyBorder="1" applyAlignment="1">
      <alignment horizontal="center" vertical="center" wrapText="1"/>
    </xf>
    <xf numFmtId="0" fontId="77" fillId="0" borderId="40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left" vertical="center"/>
    </xf>
    <xf numFmtId="0" fontId="67" fillId="33" borderId="15" xfId="0" applyFont="1" applyFill="1" applyBorder="1" applyAlignment="1">
      <alignment horizontal="center" vertical="center" wrapText="1"/>
    </xf>
    <xf numFmtId="0" fontId="67" fillId="33" borderId="40" xfId="0" applyFont="1" applyFill="1" applyBorder="1" applyAlignment="1">
      <alignment horizontal="center" vertical="center" wrapText="1"/>
    </xf>
    <xf numFmtId="0" fontId="67" fillId="33" borderId="0" xfId="0" applyFont="1" applyFill="1" applyAlignment="1">
      <alignment horizontal="center" vertical="center" wrapText="1"/>
    </xf>
    <xf numFmtId="0" fontId="62" fillId="33" borderId="0" xfId="0" applyFont="1" applyFill="1" applyAlignment="1">
      <alignment horizontal="left" vertical="center"/>
    </xf>
    <xf numFmtId="0" fontId="67" fillId="33" borderId="0" xfId="0" applyFont="1" applyFill="1" applyAlignment="1">
      <alignment horizontal="center" vertical="center"/>
    </xf>
    <xf numFmtId="0" fontId="62" fillId="33" borderId="39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4" fontId="62" fillId="33" borderId="39" xfId="0" applyNumberFormat="1" applyFont="1" applyFill="1" applyBorder="1" applyAlignment="1">
      <alignment horizontal="center" vertical="center" wrapText="1"/>
    </xf>
    <xf numFmtId="4" fontId="62" fillId="33" borderId="12" xfId="0" applyNumberFormat="1" applyFont="1" applyFill="1" applyBorder="1" applyAlignment="1">
      <alignment horizontal="center" vertical="center" wrapText="1"/>
    </xf>
    <xf numFmtId="0" fontId="62" fillId="0" borderId="39" xfId="0" applyFont="1" applyBorder="1" applyAlignment="1">
      <alignment horizontal="center" vertical="center" wrapText="1"/>
    </xf>
    <xf numFmtId="0" fontId="62" fillId="0" borderId="41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42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right" vertical="center" wrapText="1"/>
    </xf>
    <xf numFmtId="0" fontId="67" fillId="0" borderId="16" xfId="0" applyFont="1" applyBorder="1" applyAlignment="1">
      <alignment horizontal="right" vertical="center" wrapText="1"/>
    </xf>
    <xf numFmtId="0" fontId="62" fillId="0" borderId="0" xfId="0" applyFont="1" applyAlignment="1">
      <alignment horizontal="left"/>
    </xf>
    <xf numFmtId="49" fontId="62" fillId="0" borderId="13" xfId="0" applyNumberFormat="1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4" fontId="62" fillId="0" borderId="13" xfId="0" applyNumberFormat="1" applyFont="1" applyBorder="1" applyAlignment="1">
      <alignment horizontal="center" vertical="center" wrapText="1"/>
    </xf>
    <xf numFmtId="49" fontId="62" fillId="33" borderId="13" xfId="0" applyNumberFormat="1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4" fontId="62" fillId="33" borderId="13" xfId="0" applyNumberFormat="1" applyFont="1" applyFill="1" applyBorder="1" applyAlignment="1">
      <alignment horizontal="center" vertical="center" wrapText="1"/>
    </xf>
    <xf numFmtId="4" fontId="62" fillId="33" borderId="23" xfId="0" applyNumberFormat="1" applyFont="1" applyFill="1" applyBorder="1" applyAlignment="1">
      <alignment horizontal="center" vertical="center" wrapText="1"/>
    </xf>
    <xf numFmtId="0" fontId="62" fillId="0" borderId="43" xfId="0" applyFont="1" applyBorder="1" applyAlignment="1">
      <alignment horizontal="center" vertical="center" wrapText="1"/>
    </xf>
    <xf numFmtId="0" fontId="62" fillId="0" borderId="44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45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48" fillId="0" borderId="15" xfId="42" applyBorder="1" applyAlignment="1">
      <alignment horizontal="center" vertical="center" wrapText="1"/>
    </xf>
    <xf numFmtId="0" fontId="48" fillId="0" borderId="42" xfId="42" applyBorder="1" applyAlignment="1">
      <alignment horizontal="center" vertical="center" wrapText="1"/>
    </xf>
    <xf numFmtId="0" fontId="48" fillId="0" borderId="16" xfId="42" applyBorder="1" applyAlignment="1">
      <alignment horizontal="center" vertical="center" wrapText="1"/>
    </xf>
    <xf numFmtId="0" fontId="62" fillId="0" borderId="0" xfId="0" applyFont="1" applyAlignment="1">
      <alignment horizontal="center" wrapText="1"/>
    </xf>
    <xf numFmtId="0" fontId="78" fillId="0" borderId="0" xfId="0" applyFont="1" applyAlignment="1">
      <alignment horizontal="center" wrapText="1"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center" wrapText="1"/>
    </xf>
    <xf numFmtId="0" fontId="64" fillId="0" borderId="0" xfId="0" applyFont="1" applyAlignment="1">
      <alignment horizontal="left"/>
    </xf>
    <xf numFmtId="0" fontId="64" fillId="0" borderId="0" xfId="0" applyFont="1" applyAlignment="1">
      <alignment horizontal="left" wrapText="1"/>
    </xf>
    <xf numFmtId="0" fontId="63" fillId="0" borderId="0" xfId="0" applyFont="1" applyAlignment="1">
      <alignment horizontal="left" vertical="top"/>
    </xf>
    <xf numFmtId="0" fontId="64" fillId="0" borderId="0" xfId="0" applyFont="1" applyAlignment="1">
      <alignment horizontal="center" vertical="top"/>
    </xf>
    <xf numFmtId="0" fontId="62" fillId="0" borderId="0" xfId="0" applyFont="1" applyAlignment="1">
      <alignment horizontal="left" vertical="center"/>
    </xf>
    <xf numFmtId="0" fontId="64" fillId="0" borderId="0" xfId="0" applyFont="1" applyAlignment="1">
      <alignment horizontal="right" wrapText="1"/>
    </xf>
    <xf numFmtId="0" fontId="64" fillId="0" borderId="14" xfId="0" applyFont="1" applyBorder="1" applyAlignment="1">
      <alignment horizontal="right" wrapText="1"/>
    </xf>
    <xf numFmtId="0" fontId="64" fillId="0" borderId="0" xfId="0" applyFont="1" applyAlignment="1">
      <alignment horizontal="right"/>
    </xf>
    <xf numFmtId="0" fontId="64" fillId="0" borderId="0" xfId="0" applyFont="1" applyBorder="1" applyAlignment="1">
      <alignment horizontal="right"/>
    </xf>
    <xf numFmtId="0" fontId="64" fillId="0" borderId="13" xfId="0" applyFont="1" applyBorder="1" applyAlignment="1">
      <alignment horizontal="center"/>
    </xf>
    <xf numFmtId="0" fontId="63" fillId="0" borderId="0" xfId="0" applyFont="1" applyAlignment="1">
      <alignment horizontal="right" vertical="center"/>
    </xf>
    <xf numFmtId="0" fontId="62" fillId="0" borderId="38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14" xfId="0" applyFont="1" applyBorder="1" applyAlignment="1">
      <alignment horizontal="center"/>
    </xf>
    <xf numFmtId="0" fontId="64" fillId="0" borderId="13" xfId="0" applyFont="1" applyBorder="1" applyAlignment="1">
      <alignment horizontal="center" vertical="center"/>
    </xf>
    <xf numFmtId="0" fontId="64" fillId="0" borderId="38" xfId="0" applyFont="1" applyBorder="1" applyAlignment="1">
      <alignment horizontal="center"/>
    </xf>
    <xf numFmtId="0" fontId="64" fillId="0" borderId="14" xfId="0" applyFont="1" applyBorder="1" applyAlignment="1">
      <alignment horizontal="right"/>
    </xf>
    <xf numFmtId="0" fontId="63" fillId="0" borderId="38" xfId="0" applyFont="1" applyBorder="1" applyAlignment="1">
      <alignment horizontal="center" vertical="center"/>
    </xf>
    <xf numFmtId="0" fontId="64" fillId="0" borderId="34" xfId="0" applyFont="1" applyBorder="1" applyAlignment="1">
      <alignment horizontal="center" vertical="center"/>
    </xf>
    <xf numFmtId="0" fontId="64" fillId="0" borderId="32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C513630DD0A2F9B2EC0205798B851993A5251DC8FCD4308CDDA19182ECC2154EE9666872F0FB998HANDC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C513630DD0A2F9B2EC0205798B851993A5251D08ECB4308CDDA19182ECC2154EE9666852E0BHBNDC" TargetMode="External" /><Relationship Id="rId2" Type="http://schemas.openxmlformats.org/officeDocument/2006/relationships/hyperlink" Target="consultantplus://offline/ref=EC513630DD0A2F9B2EC0205798B851993A5256DB8AC84308CDDA19182EHCNCC" TargetMode="External" /><Relationship Id="rId3" Type="http://schemas.openxmlformats.org/officeDocument/2006/relationships/hyperlink" Target="consultantplus://offline/ref=EC513630DD0A2F9B2EC0205798B851993A5256DC8DCE4308CDDA19182EHCNCC" TargetMode="Externa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C513630DD0A2F9B2EC0205798B851993A5251D08ECB4308CDDA19182ECC2154EE9666852E0BHBNDC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C513630DD0A2F9B2EC0205798B851993A5256DB8AC84308CDDA19182EHCNCC" TargetMode="External" /><Relationship Id="rId2" Type="http://schemas.openxmlformats.org/officeDocument/2006/relationships/hyperlink" Target="consultantplus://offline/ref=EC513630DD0A2F9B2EC0205798B851993A5256DC8DCE4308CDDA19182EHCNCC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C513630DD0A2F9B2EC0205798B851993A5251D08ECB4308CDDA19182ECC2154EE9666852E0BHBNDC" TargetMode="External" /><Relationship Id="rId2" Type="http://schemas.openxmlformats.org/officeDocument/2006/relationships/hyperlink" Target="consultantplus://offline/ref=EC513630DD0A2F9B2EC0205798B851993A5256DB8AC84308CDDA19182EHCNCC" TargetMode="External" /><Relationship Id="rId3" Type="http://schemas.openxmlformats.org/officeDocument/2006/relationships/hyperlink" Target="consultantplus://offline/ref=EC513630DD0A2F9B2EC0205798B851993A5256DC8DCE4308CDDA19182EHCNCC" TargetMode="Externa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I84"/>
  <sheetViews>
    <sheetView tabSelected="1" view="pageBreakPreview" zoomScale="85" zoomScaleSheetLayoutView="85" zoomScalePageLayoutView="0" workbookViewId="0" topLeftCell="A1">
      <selection activeCell="M3" sqref="M3"/>
    </sheetView>
  </sheetViews>
  <sheetFormatPr defaultColWidth="28.8515625" defaultRowHeight="15"/>
  <cols>
    <col min="1" max="1" width="6.421875" style="39" customWidth="1"/>
    <col min="2" max="2" width="8.140625" style="39" customWidth="1"/>
    <col min="3" max="3" width="54.00390625" style="39" customWidth="1"/>
    <col min="4" max="4" width="39.7109375" style="39" customWidth="1"/>
    <col min="5" max="5" width="24.7109375" style="39" customWidth="1"/>
    <col min="6" max="6" width="23.57421875" style="39" customWidth="1"/>
    <col min="7" max="7" width="30.8515625" style="39" customWidth="1"/>
    <col min="8" max="8" width="21.7109375" style="39" customWidth="1"/>
    <col min="9" max="9" width="16.57421875" style="39" customWidth="1"/>
    <col min="10" max="10" width="15.421875" style="47" customWidth="1"/>
    <col min="11" max="11" width="16.8515625" style="47" customWidth="1"/>
    <col min="12" max="12" width="23.8515625" style="47" customWidth="1"/>
    <col min="13" max="16384" width="28.8515625" style="47" customWidth="1"/>
  </cols>
  <sheetData>
    <row r="1" spans="5:9" ht="18.75" customHeight="1">
      <c r="E1" s="413" t="s">
        <v>40</v>
      </c>
      <c r="F1" s="413"/>
      <c r="G1" s="413"/>
      <c r="H1" s="43"/>
      <c r="I1" s="43"/>
    </row>
    <row r="2" spans="5:9" ht="109.5" customHeight="1">
      <c r="E2" s="413" t="s">
        <v>383</v>
      </c>
      <c r="F2" s="413"/>
      <c r="G2" s="413"/>
      <c r="H2" s="43"/>
      <c r="I2" s="43"/>
    </row>
    <row r="3" spans="5:7" ht="34.5" customHeight="1">
      <c r="E3" s="44"/>
      <c r="F3" s="44"/>
      <c r="G3" s="38" t="s">
        <v>28</v>
      </c>
    </row>
    <row r="4" spans="5:7" ht="57.75" customHeight="1">
      <c r="E4" s="407" t="s">
        <v>459</v>
      </c>
      <c r="F4" s="407"/>
      <c r="G4" s="407"/>
    </row>
    <row r="5" spans="4:7" ht="18.75">
      <c r="D5" s="104"/>
      <c r="E5" s="418" t="s">
        <v>243</v>
      </c>
      <c r="F5" s="418"/>
      <c r="G5" s="418"/>
    </row>
    <row r="6" spans="4:7" ht="31.5" customHeight="1">
      <c r="D6" s="104" t="s">
        <v>390</v>
      </c>
      <c r="E6" s="419" t="s">
        <v>460</v>
      </c>
      <c r="F6" s="419"/>
      <c r="G6" s="419"/>
    </row>
    <row r="7" spans="5:7" ht="18.75">
      <c r="E7" s="413" t="s">
        <v>29</v>
      </c>
      <c r="F7" s="413"/>
      <c r="G7" s="413"/>
    </row>
    <row r="8" spans="5:7" ht="18.75">
      <c r="E8" s="413" t="s">
        <v>30</v>
      </c>
      <c r="F8" s="413"/>
      <c r="G8" s="413"/>
    </row>
    <row r="9" spans="5:7" ht="18.75">
      <c r="E9" s="44"/>
      <c r="F9" s="44"/>
      <c r="G9" s="44"/>
    </row>
    <row r="10" spans="5:7" ht="18.75">
      <c r="E10" s="412" t="s">
        <v>410</v>
      </c>
      <c r="F10" s="412"/>
      <c r="G10" s="412"/>
    </row>
    <row r="11" spans="5:7" ht="18.75">
      <c r="E11" s="412" t="s">
        <v>437</v>
      </c>
      <c r="F11" s="412"/>
      <c r="G11" s="412"/>
    </row>
    <row r="12" spans="5:7" ht="18.75">
      <c r="E12" s="413" t="s">
        <v>293</v>
      </c>
      <c r="F12" s="413"/>
      <c r="G12" s="413"/>
    </row>
    <row r="13" spans="5:7" ht="63.75" customHeight="1">
      <c r="E13" s="416" t="s">
        <v>304</v>
      </c>
      <c r="F13" s="416"/>
      <c r="G13" s="416"/>
    </row>
    <row r="14" spans="5:7" ht="18.75">
      <c r="E14" s="414" t="s">
        <v>244</v>
      </c>
      <c r="F14" s="414"/>
      <c r="G14" s="414"/>
    </row>
    <row r="15" spans="5:7" ht="18.75">
      <c r="E15" s="415" t="s">
        <v>305</v>
      </c>
      <c r="F15" s="415"/>
      <c r="G15" s="415"/>
    </row>
    <row r="16" spans="5:7" ht="17.25" customHeight="1">
      <c r="E16" s="417" t="s">
        <v>31</v>
      </c>
      <c r="F16" s="417"/>
      <c r="G16" s="417"/>
    </row>
    <row r="17" spans="1:9" s="54" customFormat="1" ht="12" customHeight="1" thickBot="1">
      <c r="A17" s="53"/>
      <c r="B17" s="53"/>
      <c r="C17" s="53"/>
      <c r="D17" s="53"/>
      <c r="E17" s="60"/>
      <c r="F17" s="60"/>
      <c r="G17" s="60"/>
      <c r="H17" s="53"/>
      <c r="I17" s="53"/>
    </row>
    <row r="18" spans="1:7" ht="19.5" thickBot="1">
      <c r="A18" s="406"/>
      <c r="F18" s="2"/>
      <c r="G18" s="45" t="s">
        <v>32</v>
      </c>
    </row>
    <row r="19" spans="1:7" ht="19.5" thickBot="1">
      <c r="A19" s="406"/>
      <c r="E19" s="44"/>
      <c r="F19" s="41" t="s">
        <v>33</v>
      </c>
      <c r="G19" s="1"/>
    </row>
    <row r="20" spans="1:8" ht="19.5" thickBot="1">
      <c r="A20" s="406"/>
      <c r="E20" s="44"/>
      <c r="F20" s="41" t="s">
        <v>34</v>
      </c>
      <c r="G20" s="62">
        <v>53032508</v>
      </c>
      <c r="H20" s="61"/>
    </row>
    <row r="21" spans="1:7" ht="46.5" customHeight="1" thickBot="1">
      <c r="A21" s="406"/>
      <c r="E21" s="407" t="s">
        <v>35</v>
      </c>
      <c r="F21" s="408"/>
      <c r="G21" s="46"/>
    </row>
    <row r="22" spans="1:7" ht="19.5" thickBot="1">
      <c r="A22" s="406"/>
      <c r="E22" s="44"/>
      <c r="F22" s="41" t="s">
        <v>36</v>
      </c>
      <c r="G22" s="56">
        <v>4100018440</v>
      </c>
    </row>
    <row r="23" spans="1:7" ht="19.5" thickBot="1">
      <c r="A23" s="406"/>
      <c r="E23" s="44"/>
      <c r="F23" s="41" t="s">
        <v>37</v>
      </c>
      <c r="G23" s="56">
        <v>410101001</v>
      </c>
    </row>
    <row r="24" spans="1:7" ht="31.5" customHeight="1" thickBot="1">
      <c r="A24" s="406"/>
      <c r="E24" s="409" t="s">
        <v>38</v>
      </c>
      <c r="F24" s="410"/>
      <c r="G24" s="46">
        <v>383</v>
      </c>
    </row>
    <row r="25" spans="1:7" ht="75" customHeight="1" thickBot="1">
      <c r="A25" s="406"/>
      <c r="E25" s="407" t="s">
        <v>39</v>
      </c>
      <c r="F25" s="408"/>
      <c r="G25" s="1"/>
    </row>
    <row r="27" spans="1:6" ht="15" customHeight="1">
      <c r="A27" s="411" t="s">
        <v>26</v>
      </c>
      <c r="B27" s="411"/>
      <c r="C27" s="411"/>
      <c r="D27" s="411"/>
      <c r="E27" s="411"/>
      <c r="F27" s="411"/>
    </row>
    <row r="28" ht="18.75">
      <c r="B28" s="42"/>
    </row>
    <row r="29" spans="1:9" ht="57.75" customHeight="1">
      <c r="A29" s="402" t="s">
        <v>301</v>
      </c>
      <c r="B29" s="402"/>
      <c r="C29" s="402"/>
      <c r="D29" s="402"/>
      <c r="E29" s="402"/>
      <c r="F29" s="402"/>
      <c r="G29" s="402"/>
      <c r="H29" s="18"/>
      <c r="I29" s="18"/>
    </row>
    <row r="30" spans="1:9" ht="57.75" customHeight="1">
      <c r="A30" s="402" t="s">
        <v>300</v>
      </c>
      <c r="B30" s="402"/>
      <c r="C30" s="402"/>
      <c r="D30" s="402"/>
      <c r="E30" s="402"/>
      <c r="F30" s="402"/>
      <c r="G30" s="402"/>
      <c r="H30" s="43"/>
      <c r="I30" s="43"/>
    </row>
    <row r="31" spans="1:9" ht="57.75" customHeight="1">
      <c r="A31" s="402" t="s">
        <v>27</v>
      </c>
      <c r="B31" s="402"/>
      <c r="C31" s="402"/>
      <c r="D31" s="402"/>
      <c r="E31" s="402"/>
      <c r="F31" s="402"/>
      <c r="G31" s="402"/>
      <c r="H31" s="43"/>
      <c r="I31" s="43"/>
    </row>
    <row r="32" spans="1:9" ht="18.75" customHeight="1">
      <c r="A32" s="40"/>
      <c r="B32" s="40"/>
      <c r="C32" s="40"/>
      <c r="D32" s="40"/>
      <c r="E32" s="40"/>
      <c r="F32" s="40"/>
      <c r="G32" s="40"/>
      <c r="H32" s="43"/>
      <c r="I32" s="43"/>
    </row>
    <row r="33" spans="1:9" ht="22.5" customHeight="1" thickBot="1">
      <c r="A33" s="40"/>
      <c r="B33" s="40"/>
      <c r="C33" s="40"/>
      <c r="D33" s="40"/>
      <c r="E33" s="40"/>
      <c r="F33" s="40"/>
      <c r="G33" s="40"/>
      <c r="H33" s="43"/>
      <c r="I33" s="43"/>
    </row>
    <row r="34" spans="1:9" s="54" customFormat="1" ht="52.5" customHeight="1" thickBot="1">
      <c r="A34" s="403" t="s">
        <v>389</v>
      </c>
      <c r="B34" s="404"/>
      <c r="C34" s="404"/>
      <c r="D34" s="404"/>
      <c r="E34" s="404"/>
      <c r="F34" s="404"/>
      <c r="G34" s="405"/>
      <c r="H34" s="52"/>
      <c r="I34" s="52"/>
    </row>
    <row r="35" spans="1:9" s="54" customFormat="1" ht="38.25" customHeight="1">
      <c r="A35" s="353"/>
      <c r="B35" s="401" t="s">
        <v>45</v>
      </c>
      <c r="C35" s="401"/>
      <c r="D35" s="401"/>
      <c r="E35" s="401"/>
      <c r="F35" s="401"/>
      <c r="G35" s="354">
        <f>23202885.87</f>
        <v>23202885.87</v>
      </c>
      <c r="H35" s="52"/>
      <c r="I35" s="52"/>
    </row>
    <row r="36" spans="1:9" s="54" customFormat="1" ht="19.5" customHeight="1">
      <c r="A36" s="347"/>
      <c r="B36" s="396" t="s">
        <v>22</v>
      </c>
      <c r="C36" s="396"/>
      <c r="D36" s="396"/>
      <c r="E36" s="396"/>
      <c r="F36" s="396"/>
      <c r="G36" s="273"/>
      <c r="H36" s="52"/>
      <c r="I36" s="52"/>
    </row>
    <row r="37" spans="1:9" s="108" customFormat="1" ht="38.25" customHeight="1">
      <c r="A37" s="348"/>
      <c r="B37" s="389" t="s">
        <v>294</v>
      </c>
      <c r="C37" s="389"/>
      <c r="D37" s="389"/>
      <c r="E37" s="389"/>
      <c r="F37" s="389"/>
      <c r="G37" s="198" t="s">
        <v>458</v>
      </c>
      <c r="H37" s="107"/>
      <c r="I37" s="107"/>
    </row>
    <row r="38" spans="1:9" s="54" customFormat="1" ht="38.25" customHeight="1">
      <c r="A38" s="347"/>
      <c r="B38" s="396" t="s">
        <v>295</v>
      </c>
      <c r="C38" s="396"/>
      <c r="D38" s="396"/>
      <c r="E38" s="396"/>
      <c r="F38" s="396"/>
      <c r="G38" s="273" t="s">
        <v>458</v>
      </c>
      <c r="H38" s="52"/>
      <c r="I38" s="52"/>
    </row>
    <row r="39" spans="1:9" s="54" customFormat="1" ht="38.25" customHeight="1">
      <c r="A39" s="347"/>
      <c r="B39" s="396" t="s">
        <v>296</v>
      </c>
      <c r="C39" s="396"/>
      <c r="D39" s="396"/>
      <c r="E39" s="396"/>
      <c r="F39" s="396"/>
      <c r="G39" s="273" t="s">
        <v>458</v>
      </c>
      <c r="H39" s="52"/>
      <c r="I39" s="52"/>
    </row>
    <row r="40" spans="1:9" s="54" customFormat="1" ht="38.25" customHeight="1" thickBot="1">
      <c r="A40" s="351"/>
      <c r="B40" s="397" t="s">
        <v>297</v>
      </c>
      <c r="C40" s="397"/>
      <c r="D40" s="397"/>
      <c r="E40" s="397"/>
      <c r="F40" s="397"/>
      <c r="G40" s="352" t="s">
        <v>458</v>
      </c>
      <c r="H40" s="52"/>
      <c r="I40" s="52"/>
    </row>
    <row r="41" spans="1:9" s="54" customFormat="1" ht="52.5" customHeight="1" thickBot="1">
      <c r="A41" s="398" t="s">
        <v>431</v>
      </c>
      <c r="B41" s="399"/>
      <c r="C41" s="399"/>
      <c r="D41" s="399"/>
      <c r="E41" s="399"/>
      <c r="F41" s="399"/>
      <c r="G41" s="400"/>
      <c r="H41" s="52"/>
      <c r="I41" s="52"/>
    </row>
    <row r="42" spans="1:9" s="54" customFormat="1" ht="52.5" customHeight="1">
      <c r="A42" s="353"/>
      <c r="B42" s="401" t="s">
        <v>45</v>
      </c>
      <c r="C42" s="401"/>
      <c r="D42" s="401"/>
      <c r="E42" s="401"/>
      <c r="F42" s="401"/>
      <c r="G42" s="354">
        <v>10388715.14</v>
      </c>
      <c r="H42" s="52"/>
      <c r="I42" s="52"/>
    </row>
    <row r="43" spans="1:9" s="54" customFormat="1" ht="25.5" customHeight="1">
      <c r="A43" s="347"/>
      <c r="B43" s="396" t="s">
        <v>22</v>
      </c>
      <c r="C43" s="396"/>
      <c r="D43" s="396"/>
      <c r="E43" s="396"/>
      <c r="F43" s="396"/>
      <c r="G43" s="273"/>
      <c r="H43" s="52"/>
      <c r="I43" s="52"/>
    </row>
    <row r="44" spans="1:9" s="108" customFormat="1" ht="41.25" customHeight="1">
      <c r="A44" s="348"/>
      <c r="B44" s="389" t="s">
        <v>298</v>
      </c>
      <c r="C44" s="389"/>
      <c r="D44" s="389"/>
      <c r="E44" s="389"/>
      <c r="F44" s="389"/>
      <c r="G44" s="198">
        <f>60182</f>
        <v>60182</v>
      </c>
      <c r="H44" s="107"/>
      <c r="I44" s="107"/>
    </row>
    <row r="45" spans="1:9" s="108" customFormat="1" ht="41.25" customHeight="1" thickBot="1">
      <c r="A45" s="349"/>
      <c r="B45" s="390" t="s">
        <v>299</v>
      </c>
      <c r="C45" s="390"/>
      <c r="D45" s="390"/>
      <c r="E45" s="390"/>
      <c r="F45" s="390"/>
      <c r="G45" s="350">
        <f>5751482.63</f>
        <v>5751482.63</v>
      </c>
      <c r="H45" s="107"/>
      <c r="I45" s="107"/>
    </row>
    <row r="46" spans="1:9" ht="18.75" customHeight="1">
      <c r="A46" s="40"/>
      <c r="B46" s="40"/>
      <c r="C46" s="40"/>
      <c r="D46" s="40"/>
      <c r="E46" s="40"/>
      <c r="F46" s="40"/>
      <c r="G46" s="40"/>
      <c r="H46" s="43"/>
      <c r="I46" s="43"/>
    </row>
    <row r="47" spans="1:6" ht="37.5" customHeight="1">
      <c r="A47" s="43"/>
      <c r="B47" s="391" t="s">
        <v>24</v>
      </c>
      <c r="C47" s="391"/>
      <c r="D47" s="391"/>
      <c r="E47" s="43"/>
      <c r="F47" s="43"/>
    </row>
    <row r="48" spans="1:6" ht="19.5" customHeight="1">
      <c r="A48" s="7"/>
      <c r="B48" s="392"/>
      <c r="C48" s="392"/>
      <c r="D48" s="392"/>
      <c r="E48" s="7"/>
      <c r="F48" s="7"/>
    </row>
    <row r="49" spans="1:6" ht="20.25" customHeight="1">
      <c r="A49" s="37"/>
      <c r="B49" s="393" t="s">
        <v>25</v>
      </c>
      <c r="C49" s="393"/>
      <c r="D49" s="393"/>
      <c r="E49" s="37"/>
      <c r="F49" s="37"/>
    </row>
    <row r="50" spans="3:4" ht="20.25" customHeight="1" thickBot="1">
      <c r="C50" s="42"/>
      <c r="D50" s="39" t="s">
        <v>95</v>
      </c>
    </row>
    <row r="51" spans="2:5" ht="19.5" thickBot="1">
      <c r="B51" s="233" t="s">
        <v>0</v>
      </c>
      <c r="C51" s="234" t="s">
        <v>1</v>
      </c>
      <c r="D51" s="235" t="s">
        <v>2</v>
      </c>
      <c r="E51" s="9"/>
    </row>
    <row r="52" spans="2:5" ht="18" customHeight="1">
      <c r="B52" s="274">
        <v>1</v>
      </c>
      <c r="C52" s="275">
        <v>2</v>
      </c>
      <c r="D52" s="276">
        <v>3</v>
      </c>
      <c r="E52" s="9"/>
    </row>
    <row r="53" spans="2:5" ht="25.5" customHeight="1">
      <c r="B53" s="272">
        <v>1</v>
      </c>
      <c r="C53" s="271" t="s">
        <v>3</v>
      </c>
      <c r="D53" s="273">
        <v>50302878.559999995</v>
      </c>
      <c r="E53" s="10"/>
    </row>
    <row r="54" spans="2:5" ht="18" customHeight="1">
      <c r="B54" s="394">
        <v>2</v>
      </c>
      <c r="C54" s="271" t="s">
        <v>4</v>
      </c>
      <c r="D54" s="387">
        <f>23202885.87</f>
        <v>23202885.87</v>
      </c>
      <c r="E54" s="10"/>
    </row>
    <row r="55" spans="2:5" ht="27.75" customHeight="1">
      <c r="B55" s="395"/>
      <c r="C55" s="356" t="s">
        <v>5</v>
      </c>
      <c r="D55" s="387"/>
      <c r="E55" s="10"/>
    </row>
    <row r="56" spans="2:5" ht="29.25" customHeight="1">
      <c r="B56" s="272">
        <v>3</v>
      </c>
      <c r="C56" s="271" t="s">
        <v>6</v>
      </c>
      <c r="D56" s="273">
        <f>16304467.03</f>
        <v>16304467.03</v>
      </c>
      <c r="E56" s="10"/>
    </row>
    <row r="57" spans="2:5" ht="35.25" customHeight="1">
      <c r="B57" s="272">
        <v>4</v>
      </c>
      <c r="C57" s="271" t="s">
        <v>7</v>
      </c>
      <c r="D57" s="273">
        <f>5751482.63</f>
        <v>5751482.63</v>
      </c>
      <c r="E57" s="10"/>
    </row>
    <row r="58" spans="2:5" ht="35.25" customHeight="1">
      <c r="B58" s="272">
        <v>5</v>
      </c>
      <c r="C58" s="271" t="s">
        <v>6</v>
      </c>
      <c r="D58" s="273">
        <f>3001152.88</f>
        <v>3001152.88</v>
      </c>
      <c r="E58" s="10"/>
    </row>
    <row r="59" spans="1:9" s="55" customFormat="1" ht="35.25" customHeight="1">
      <c r="A59" s="57"/>
      <c r="B59" s="169">
        <v>6</v>
      </c>
      <c r="C59" s="165" t="s">
        <v>8</v>
      </c>
      <c r="D59" s="170">
        <v>569139.46</v>
      </c>
      <c r="E59" s="127"/>
      <c r="F59" s="128"/>
      <c r="G59" s="57"/>
      <c r="H59" s="57"/>
      <c r="I59" s="57"/>
    </row>
    <row r="60" spans="2:5" ht="18" customHeight="1">
      <c r="B60" s="385">
        <v>7</v>
      </c>
      <c r="C60" s="271" t="s">
        <v>4</v>
      </c>
      <c r="D60" s="387">
        <v>569139.46</v>
      </c>
      <c r="E60" s="10"/>
    </row>
    <row r="61" spans="2:5" ht="27" customHeight="1">
      <c r="B61" s="385"/>
      <c r="C61" s="156" t="s">
        <v>9</v>
      </c>
      <c r="D61" s="387"/>
      <c r="E61" s="10"/>
    </row>
    <row r="62" spans="2:5" ht="18" customHeight="1">
      <c r="B62" s="385">
        <v>8</v>
      </c>
      <c r="C62" s="271" t="s">
        <v>4</v>
      </c>
      <c r="D62" s="387">
        <v>569139.46</v>
      </c>
      <c r="E62" s="10"/>
    </row>
    <row r="63" spans="2:5" ht="29.25" customHeight="1">
      <c r="B63" s="385"/>
      <c r="C63" s="156" t="s">
        <v>10</v>
      </c>
      <c r="D63" s="387"/>
      <c r="E63" s="10"/>
    </row>
    <row r="64" spans="2:5" ht="59.25" customHeight="1">
      <c r="B64" s="272">
        <v>9</v>
      </c>
      <c r="C64" s="156" t="s">
        <v>11</v>
      </c>
      <c r="D64" s="273" t="s">
        <v>458</v>
      </c>
      <c r="E64" s="10"/>
    </row>
    <row r="65" spans="2:5" ht="46.5" customHeight="1">
      <c r="B65" s="272">
        <v>10</v>
      </c>
      <c r="C65" s="156" t="s">
        <v>12</v>
      </c>
      <c r="D65" s="273" t="s">
        <v>458</v>
      </c>
      <c r="E65" s="10"/>
    </row>
    <row r="66" spans="1:9" s="108" customFormat="1" ht="46.5" customHeight="1">
      <c r="A66" s="109"/>
      <c r="B66" s="196">
        <v>11</v>
      </c>
      <c r="C66" s="197" t="s">
        <v>13</v>
      </c>
      <c r="D66" s="198">
        <f>D67+D69</f>
        <v>62512</v>
      </c>
      <c r="E66" s="110"/>
      <c r="F66" s="109"/>
      <c r="G66" s="109"/>
      <c r="H66" s="109"/>
      <c r="I66" s="109"/>
    </row>
    <row r="67" spans="2:5" ht="18" customHeight="1">
      <c r="B67" s="385">
        <v>12</v>
      </c>
      <c r="C67" s="271" t="s">
        <v>4</v>
      </c>
      <c r="D67" s="387">
        <f>19312</f>
        <v>19312</v>
      </c>
      <c r="E67" s="10"/>
    </row>
    <row r="68" spans="2:5" ht="35.25" customHeight="1">
      <c r="B68" s="385"/>
      <c r="C68" s="156" t="s">
        <v>14</v>
      </c>
      <c r="D68" s="387"/>
      <c r="E68" s="10"/>
    </row>
    <row r="69" spans="2:5" ht="35.25" customHeight="1">
      <c r="B69" s="272">
        <v>13</v>
      </c>
      <c r="C69" s="156" t="s">
        <v>15</v>
      </c>
      <c r="D69" s="273">
        <v>43200</v>
      </c>
      <c r="E69" s="10"/>
    </row>
    <row r="70" spans="2:5" ht="35.25" customHeight="1">
      <c r="B70" s="272">
        <v>14</v>
      </c>
      <c r="C70" s="156" t="s">
        <v>16</v>
      </c>
      <c r="D70" s="273" t="s">
        <v>458</v>
      </c>
      <c r="E70" s="10"/>
    </row>
    <row r="71" spans="2:5" ht="32.25" customHeight="1">
      <c r="B71" s="272">
        <v>15</v>
      </c>
      <c r="C71" s="271" t="s">
        <v>17</v>
      </c>
      <c r="D71" s="273">
        <v>615721.1</v>
      </c>
      <c r="E71" s="10"/>
    </row>
    <row r="72" spans="2:5" ht="18" customHeight="1">
      <c r="B72" s="385">
        <v>16</v>
      </c>
      <c r="C72" s="271" t="s">
        <v>4</v>
      </c>
      <c r="D72" s="387" t="s">
        <v>458</v>
      </c>
      <c r="E72" s="10"/>
    </row>
    <row r="73" spans="2:5" ht="18" customHeight="1">
      <c r="B73" s="385"/>
      <c r="C73" s="156" t="s">
        <v>18</v>
      </c>
      <c r="D73" s="387"/>
      <c r="E73" s="10"/>
    </row>
    <row r="74" spans="1:9" s="108" customFormat="1" ht="42.75" customHeight="1">
      <c r="A74" s="109"/>
      <c r="B74" s="196">
        <v>17</v>
      </c>
      <c r="C74" s="197" t="s">
        <v>19</v>
      </c>
      <c r="D74" s="377">
        <f>D75+D77</f>
        <v>615721.1000000001</v>
      </c>
      <c r="E74" s="110"/>
      <c r="F74" s="109"/>
      <c r="G74" s="109"/>
      <c r="H74" s="109"/>
      <c r="I74" s="109"/>
    </row>
    <row r="75" spans="2:5" ht="18" customHeight="1">
      <c r="B75" s="385">
        <v>18</v>
      </c>
      <c r="C75" s="271" t="s">
        <v>4</v>
      </c>
      <c r="D75" s="387">
        <f>153904.39</f>
        <v>153904.39</v>
      </c>
      <c r="E75" s="10"/>
    </row>
    <row r="76" spans="2:5" ht="87" customHeight="1">
      <c r="B76" s="385"/>
      <c r="C76" s="156" t="s">
        <v>20</v>
      </c>
      <c r="D76" s="387"/>
      <c r="E76" s="10"/>
    </row>
    <row r="77" spans="2:5" ht="87" customHeight="1">
      <c r="B77" s="272">
        <v>19</v>
      </c>
      <c r="C77" s="156" t="s">
        <v>21</v>
      </c>
      <c r="D77" s="273">
        <v>461816.71</v>
      </c>
      <c r="E77" s="10"/>
    </row>
    <row r="78" spans="2:5" ht="18" customHeight="1">
      <c r="B78" s="385">
        <v>20</v>
      </c>
      <c r="C78" s="271" t="s">
        <v>22</v>
      </c>
      <c r="D78" s="387" t="s">
        <v>458</v>
      </c>
      <c r="E78" s="10"/>
    </row>
    <row r="79" spans="2:5" ht="45.75" customHeight="1">
      <c r="B79" s="385"/>
      <c r="C79" s="156" t="s">
        <v>23</v>
      </c>
      <c r="D79" s="387"/>
      <c r="E79" s="10"/>
    </row>
    <row r="80" spans="2:5" ht="18" customHeight="1">
      <c r="B80" s="385">
        <v>21</v>
      </c>
      <c r="C80" s="271" t="s">
        <v>4</v>
      </c>
      <c r="D80" s="387" t="s">
        <v>458</v>
      </c>
      <c r="E80" s="10"/>
    </row>
    <row r="81" spans="2:5" ht="63.75" customHeight="1">
      <c r="B81" s="385"/>
      <c r="C81" s="156" t="s">
        <v>20</v>
      </c>
      <c r="D81" s="387"/>
      <c r="E81" s="10"/>
    </row>
    <row r="82" spans="2:5" ht="79.5" customHeight="1">
      <c r="B82" s="272">
        <v>22</v>
      </c>
      <c r="C82" s="156" t="s">
        <v>21</v>
      </c>
      <c r="D82" s="273" t="s">
        <v>458</v>
      </c>
      <c r="E82" s="9"/>
    </row>
    <row r="83" spans="2:5" ht="18" customHeight="1">
      <c r="B83" s="385">
        <v>23</v>
      </c>
      <c r="C83" s="271" t="s">
        <v>22</v>
      </c>
      <c r="D83" s="387" t="s">
        <v>458</v>
      </c>
      <c r="E83" s="10"/>
    </row>
    <row r="84" spans="2:5" ht="48" customHeight="1" thickBot="1">
      <c r="B84" s="386"/>
      <c r="C84" s="355" t="s">
        <v>23</v>
      </c>
      <c r="D84" s="388"/>
      <c r="E84" s="10"/>
    </row>
  </sheetData>
  <sheetProtection/>
  <mergeCells count="55">
    <mergeCell ref="E8:G8"/>
    <mergeCell ref="E10:G10"/>
    <mergeCell ref="E1:G1"/>
    <mergeCell ref="E2:G2"/>
    <mergeCell ref="E4:G4"/>
    <mergeCell ref="E5:G5"/>
    <mergeCell ref="E6:G6"/>
    <mergeCell ref="E7:G7"/>
    <mergeCell ref="E11:G11"/>
    <mergeCell ref="E12:G12"/>
    <mergeCell ref="E14:G14"/>
    <mergeCell ref="E15:G15"/>
    <mergeCell ref="E13:G13"/>
    <mergeCell ref="E16:G16"/>
    <mergeCell ref="A18:A25"/>
    <mergeCell ref="E21:F21"/>
    <mergeCell ref="E24:F24"/>
    <mergeCell ref="E25:F25"/>
    <mergeCell ref="A27:F27"/>
    <mergeCell ref="A29:G29"/>
    <mergeCell ref="A30:G30"/>
    <mergeCell ref="A31:G31"/>
    <mergeCell ref="A34:G34"/>
    <mergeCell ref="B35:F35"/>
    <mergeCell ref="B36:F36"/>
    <mergeCell ref="B37:F37"/>
    <mergeCell ref="B38:F38"/>
    <mergeCell ref="B39:F39"/>
    <mergeCell ref="B40:F40"/>
    <mergeCell ref="A41:G41"/>
    <mergeCell ref="B42:F42"/>
    <mergeCell ref="B43:F43"/>
    <mergeCell ref="B44:F44"/>
    <mergeCell ref="B45:F45"/>
    <mergeCell ref="B47:D47"/>
    <mergeCell ref="B48:D48"/>
    <mergeCell ref="B49:D49"/>
    <mergeCell ref="B54:B55"/>
    <mergeCell ref="D54:D55"/>
    <mergeCell ref="B60:B61"/>
    <mergeCell ref="D60:D61"/>
    <mergeCell ref="B62:B63"/>
    <mergeCell ref="D62:D63"/>
    <mergeCell ref="B78:B79"/>
    <mergeCell ref="D78:D79"/>
    <mergeCell ref="B80:B81"/>
    <mergeCell ref="B83:B84"/>
    <mergeCell ref="B67:B68"/>
    <mergeCell ref="D67:D68"/>
    <mergeCell ref="B72:B73"/>
    <mergeCell ref="D72:D73"/>
    <mergeCell ref="B75:B76"/>
    <mergeCell ref="D75:D76"/>
    <mergeCell ref="D83:D84"/>
    <mergeCell ref="D80:D81"/>
  </mergeCells>
  <hyperlinks>
    <hyperlink ref="E24" r:id="rId1" display="consultantplus://offline/ref=EC513630DD0A2F9B2EC0205798B851993A5251DC8FCD4308CDDA19182ECC2154EE9666872F0FB998HANDC"/>
  </hyperlinks>
  <printOptions/>
  <pageMargins left="0.7086614173228347" right="0.7086614173228347" top="0.22" bottom="0.25" header="0.31496062992125984" footer="0.44"/>
  <pageSetup horizontalDpi="600" verticalDpi="600" orientation="portrait" paperSize="9" scale="46" r:id="rId2"/>
  <rowBreaks count="1" manualBreakCount="1">
    <brk id="46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3:PAR1206"/>
  <sheetViews>
    <sheetView view="pageBreakPreview" zoomScale="60" zoomScalePageLayoutView="0" workbookViewId="0" topLeftCell="A1">
      <selection activeCell="L55" sqref="L55"/>
    </sheetView>
  </sheetViews>
  <sheetFormatPr defaultColWidth="28.8515625" defaultRowHeight="15"/>
  <cols>
    <col min="1" max="1" width="38.8515625" style="150" customWidth="1"/>
    <col min="2" max="2" width="9.57421875" style="150" customWidth="1"/>
    <col min="3" max="3" width="27.7109375" style="150" customWidth="1"/>
    <col min="4" max="4" width="32.140625" style="150" customWidth="1"/>
    <col min="5" max="5" width="21.57421875" style="150" customWidth="1"/>
    <col min="6" max="7" width="18.57421875" style="150" customWidth="1"/>
    <col min="8" max="8" width="17.140625" style="150" customWidth="1"/>
    <col min="9" max="9" width="14.8515625" style="150" customWidth="1"/>
    <col min="10" max="10" width="15.421875" style="150" customWidth="1"/>
    <col min="11" max="11" width="16.8515625" style="150" customWidth="1"/>
    <col min="12" max="12" width="23.8515625" style="150" customWidth="1"/>
    <col min="13" max="13" width="36.421875" style="150" customWidth="1"/>
    <col min="14" max="16384" width="28.8515625" style="150" customWidth="1"/>
  </cols>
  <sheetData>
    <row r="3" spans="1:9" ht="19.5" customHeight="1">
      <c r="A3" s="443" t="s">
        <v>93</v>
      </c>
      <c r="B3" s="443"/>
      <c r="C3" s="443"/>
      <c r="D3" s="443"/>
      <c r="E3" s="443"/>
      <c r="F3" s="443"/>
      <c r="G3" s="443"/>
      <c r="H3" s="443"/>
      <c r="I3" s="443"/>
    </row>
    <row r="4" spans="1:9" ht="18.75">
      <c r="A4" s="444" t="s">
        <v>441</v>
      </c>
      <c r="B4" s="444"/>
      <c r="C4" s="444"/>
      <c r="D4" s="444"/>
      <c r="E4" s="444"/>
      <c r="F4" s="444"/>
      <c r="G4" s="444"/>
      <c r="H4" s="444"/>
      <c r="I4" s="444"/>
    </row>
    <row r="5" ht="15.75" thickBot="1">
      <c r="I5" s="150" t="s">
        <v>94</v>
      </c>
    </row>
    <row r="6" spans="1:9" ht="19.5" customHeight="1">
      <c r="A6" s="420" t="s">
        <v>41</v>
      </c>
      <c r="B6" s="423" t="s">
        <v>42</v>
      </c>
      <c r="C6" s="423" t="s">
        <v>43</v>
      </c>
      <c r="D6" s="423" t="s">
        <v>44</v>
      </c>
      <c r="E6" s="423"/>
      <c r="F6" s="423"/>
      <c r="G6" s="423"/>
      <c r="H6" s="423"/>
      <c r="I6" s="426"/>
    </row>
    <row r="7" spans="1:9" ht="18.75">
      <c r="A7" s="421"/>
      <c r="B7" s="424"/>
      <c r="C7" s="424"/>
      <c r="D7" s="424" t="s">
        <v>45</v>
      </c>
      <c r="E7" s="424" t="s">
        <v>22</v>
      </c>
      <c r="F7" s="424"/>
      <c r="G7" s="424"/>
      <c r="H7" s="424"/>
      <c r="I7" s="427"/>
    </row>
    <row r="8" spans="1:13" ht="100.5" customHeight="1">
      <c r="A8" s="421"/>
      <c r="B8" s="424"/>
      <c r="C8" s="424"/>
      <c r="D8" s="424"/>
      <c r="E8" s="424" t="s">
        <v>46</v>
      </c>
      <c r="F8" s="428" t="s">
        <v>47</v>
      </c>
      <c r="G8" s="424" t="s">
        <v>48</v>
      </c>
      <c r="H8" s="424" t="s">
        <v>49</v>
      </c>
      <c r="I8" s="427"/>
      <c r="M8" s="372">
        <v>40445487.23</v>
      </c>
    </row>
    <row r="9" spans="1:13" ht="45" customHeight="1" thickBot="1">
      <c r="A9" s="422"/>
      <c r="B9" s="425"/>
      <c r="C9" s="425"/>
      <c r="D9" s="425"/>
      <c r="E9" s="425"/>
      <c r="F9" s="429"/>
      <c r="G9" s="425"/>
      <c r="H9" s="236" t="s">
        <v>45</v>
      </c>
      <c r="I9" s="303" t="s">
        <v>50</v>
      </c>
      <c r="M9" s="372">
        <f>M8-E12</f>
        <v>0</v>
      </c>
    </row>
    <row r="10" spans="1:9" ht="18.75">
      <c r="A10" s="274">
        <v>1</v>
      </c>
      <c r="B10" s="275">
        <v>2</v>
      </c>
      <c r="C10" s="275">
        <v>3</v>
      </c>
      <c r="D10" s="275">
        <v>4</v>
      </c>
      <c r="E10" s="275">
        <v>5</v>
      </c>
      <c r="F10" s="275">
        <v>6</v>
      </c>
      <c r="G10" s="275">
        <v>7</v>
      </c>
      <c r="H10" s="275">
        <v>8</v>
      </c>
      <c r="I10" s="276">
        <v>9</v>
      </c>
    </row>
    <row r="11" spans="1:13" s="50" customFormat="1" ht="48.75" customHeight="1">
      <c r="A11" s="286" t="s">
        <v>51</v>
      </c>
      <c r="B11" s="279" t="s">
        <v>245</v>
      </c>
      <c r="C11" s="280" t="s">
        <v>52</v>
      </c>
      <c r="D11" s="281">
        <v>0</v>
      </c>
      <c r="E11" s="281">
        <v>0</v>
      </c>
      <c r="F11" s="281">
        <v>0</v>
      </c>
      <c r="G11" s="281">
        <v>0</v>
      </c>
      <c r="H11" s="281">
        <v>0</v>
      </c>
      <c r="I11" s="287">
        <v>0</v>
      </c>
      <c r="M11" s="50" t="s">
        <v>251</v>
      </c>
    </row>
    <row r="12" spans="1:9" s="50" customFormat="1" ht="47.25" customHeight="1">
      <c r="A12" s="286" t="s">
        <v>53</v>
      </c>
      <c r="B12" s="279" t="s">
        <v>246</v>
      </c>
      <c r="C12" s="280" t="s">
        <v>52</v>
      </c>
      <c r="D12" s="281">
        <f>D13+D17+D20+D25+D26</f>
        <v>46157265.92090909</v>
      </c>
      <c r="E12" s="281">
        <f>E17</f>
        <v>40445487.23</v>
      </c>
      <c r="F12" s="281">
        <f>F25</f>
        <v>1100000</v>
      </c>
      <c r="G12" s="281">
        <f>G25</f>
        <v>0</v>
      </c>
      <c r="H12" s="281">
        <f>H13+H17+H20+H23+H24+H26</f>
        <v>4611778.690909091</v>
      </c>
      <c r="I12" s="287">
        <v>0</v>
      </c>
    </row>
    <row r="13" spans="1:13" s="49" customFormat="1" ht="18.75" customHeight="1">
      <c r="A13" s="445" t="s">
        <v>252</v>
      </c>
      <c r="B13" s="430" t="s">
        <v>247</v>
      </c>
      <c r="C13" s="431">
        <v>120</v>
      </c>
      <c r="D13" s="432">
        <f>D15</f>
        <v>0</v>
      </c>
      <c r="E13" s="432" t="s">
        <v>52</v>
      </c>
      <c r="F13" s="432" t="s">
        <v>52</v>
      </c>
      <c r="G13" s="432" t="s">
        <v>52</v>
      </c>
      <c r="H13" s="432">
        <f>H15</f>
        <v>0</v>
      </c>
      <c r="I13" s="433" t="s">
        <v>52</v>
      </c>
      <c r="M13" s="442" t="s">
        <v>253</v>
      </c>
    </row>
    <row r="14" spans="1:13" s="49" customFormat="1" ht="30.75" customHeight="1">
      <c r="A14" s="445"/>
      <c r="B14" s="430"/>
      <c r="C14" s="431"/>
      <c r="D14" s="432"/>
      <c r="E14" s="432"/>
      <c r="F14" s="432"/>
      <c r="G14" s="432"/>
      <c r="H14" s="432"/>
      <c r="I14" s="433"/>
      <c r="M14" s="442"/>
    </row>
    <row r="15" spans="1:13" ht="18.75" customHeight="1">
      <c r="A15" s="288" t="s">
        <v>4</v>
      </c>
      <c r="B15" s="491" t="s">
        <v>248</v>
      </c>
      <c r="C15" s="492">
        <v>120</v>
      </c>
      <c r="D15" s="493">
        <f>H15</f>
        <v>0</v>
      </c>
      <c r="E15" s="493" t="s">
        <v>52</v>
      </c>
      <c r="F15" s="493" t="s">
        <v>52</v>
      </c>
      <c r="G15" s="493" t="s">
        <v>52</v>
      </c>
      <c r="H15" s="493">
        <v>0</v>
      </c>
      <c r="I15" s="387" t="s">
        <v>52</v>
      </c>
      <c r="M15" s="442"/>
    </row>
    <row r="16" spans="1:13" ht="145.5" customHeight="1">
      <c r="A16" s="288" t="s">
        <v>54</v>
      </c>
      <c r="B16" s="491"/>
      <c r="C16" s="492"/>
      <c r="D16" s="493"/>
      <c r="E16" s="493"/>
      <c r="F16" s="493"/>
      <c r="G16" s="493"/>
      <c r="H16" s="493"/>
      <c r="I16" s="387"/>
      <c r="M16" s="442"/>
    </row>
    <row r="17" spans="1:16" s="49" customFormat="1" ht="45.75" customHeight="1">
      <c r="A17" s="289" t="s">
        <v>55</v>
      </c>
      <c r="B17" s="282" t="s">
        <v>249</v>
      </c>
      <c r="C17" s="175">
        <v>130</v>
      </c>
      <c r="D17" s="176">
        <f>D18</f>
        <v>40445487.23</v>
      </c>
      <c r="E17" s="176">
        <f>E18</f>
        <v>40445487.23</v>
      </c>
      <c r="F17" s="176" t="s">
        <v>52</v>
      </c>
      <c r="G17" s="176" t="s">
        <v>52</v>
      </c>
      <c r="H17" s="176">
        <f>H18</f>
        <v>0</v>
      </c>
      <c r="I17" s="290">
        <f>I18</f>
        <v>0</v>
      </c>
      <c r="M17" s="49" t="s">
        <v>254</v>
      </c>
      <c r="N17" s="111">
        <f>E17-E27</f>
        <v>0.004365518689155579</v>
      </c>
      <c r="O17" s="111">
        <f>F12-F27</f>
        <v>0</v>
      </c>
      <c r="P17" s="111">
        <f>H12-H27</f>
        <v>0</v>
      </c>
    </row>
    <row r="18" spans="1:9" s="148" customFormat="1" ht="18.75">
      <c r="A18" s="291" t="s">
        <v>56</v>
      </c>
      <c r="B18" s="494" t="s">
        <v>250</v>
      </c>
      <c r="C18" s="495">
        <v>130</v>
      </c>
      <c r="D18" s="496">
        <f>E18+H18</f>
        <v>40445487.23</v>
      </c>
      <c r="E18" s="496">
        <v>40445487.23</v>
      </c>
      <c r="F18" s="496" t="s">
        <v>52</v>
      </c>
      <c r="G18" s="496" t="s">
        <v>52</v>
      </c>
      <c r="H18" s="496">
        <v>0</v>
      </c>
      <c r="I18" s="497">
        <v>0</v>
      </c>
    </row>
    <row r="19" spans="1:9" s="148" customFormat="1" ht="75">
      <c r="A19" s="291" t="s">
        <v>57</v>
      </c>
      <c r="B19" s="494"/>
      <c r="C19" s="495"/>
      <c r="D19" s="496"/>
      <c r="E19" s="496"/>
      <c r="F19" s="496"/>
      <c r="G19" s="496"/>
      <c r="H19" s="496"/>
      <c r="I19" s="497"/>
    </row>
    <row r="20" spans="1:9" s="49" customFormat="1" ht="56.25">
      <c r="A20" s="289" t="s">
        <v>58</v>
      </c>
      <c r="B20" s="282" t="s">
        <v>255</v>
      </c>
      <c r="C20" s="175">
        <v>130</v>
      </c>
      <c r="D20" s="176">
        <f>D21+D23+D24</f>
        <v>4611778.690909091</v>
      </c>
      <c r="E20" s="176" t="s">
        <v>52</v>
      </c>
      <c r="F20" s="176" t="s">
        <v>52</v>
      </c>
      <c r="G20" s="176" t="s">
        <v>52</v>
      </c>
      <c r="H20" s="176">
        <f>H21</f>
        <v>0</v>
      </c>
      <c r="I20" s="290">
        <v>0</v>
      </c>
    </row>
    <row r="21" spans="1:9" s="148" customFormat="1" ht="18.75">
      <c r="A21" s="291" t="s">
        <v>22</v>
      </c>
      <c r="B21" s="494" t="s">
        <v>256</v>
      </c>
      <c r="C21" s="495">
        <v>130</v>
      </c>
      <c r="D21" s="496">
        <f>H21</f>
        <v>0</v>
      </c>
      <c r="E21" s="496" t="s">
        <v>52</v>
      </c>
      <c r="F21" s="496" t="s">
        <v>52</v>
      </c>
      <c r="G21" s="496" t="s">
        <v>52</v>
      </c>
      <c r="H21" s="496">
        <v>0</v>
      </c>
      <c r="I21" s="497">
        <v>0</v>
      </c>
    </row>
    <row r="22" spans="1:9" s="148" customFormat="1" ht="37.5">
      <c r="A22" s="291" t="s">
        <v>59</v>
      </c>
      <c r="B22" s="494"/>
      <c r="C22" s="495"/>
      <c r="D22" s="496"/>
      <c r="E22" s="496"/>
      <c r="F22" s="496"/>
      <c r="G22" s="496"/>
      <c r="H22" s="496"/>
      <c r="I22" s="497"/>
    </row>
    <row r="23" spans="1:9" s="148" customFormat="1" ht="18.75">
      <c r="A23" s="291" t="s">
        <v>60</v>
      </c>
      <c r="B23" s="283" t="s">
        <v>257</v>
      </c>
      <c r="C23" s="165">
        <v>130</v>
      </c>
      <c r="D23" s="166">
        <f>H23</f>
        <v>4611778.690909091</v>
      </c>
      <c r="E23" s="166" t="s">
        <v>52</v>
      </c>
      <c r="F23" s="166" t="s">
        <v>52</v>
      </c>
      <c r="G23" s="166" t="s">
        <v>52</v>
      </c>
      <c r="H23" s="166">
        <f>'Раздел IIобоснованиеПДД (2021)'!E161</f>
        <v>4611778.690909091</v>
      </c>
      <c r="I23" s="170">
        <v>0</v>
      </c>
    </row>
    <row r="24" spans="1:9" s="148" customFormat="1" ht="56.25">
      <c r="A24" s="291" t="s">
        <v>61</v>
      </c>
      <c r="B24" s="283" t="s">
        <v>258</v>
      </c>
      <c r="C24" s="165">
        <v>140</v>
      </c>
      <c r="D24" s="166">
        <f>H24</f>
        <v>0</v>
      </c>
      <c r="E24" s="166" t="s">
        <v>52</v>
      </c>
      <c r="F24" s="166" t="s">
        <v>52</v>
      </c>
      <c r="G24" s="166" t="s">
        <v>52</v>
      </c>
      <c r="H24" s="166">
        <v>0</v>
      </c>
      <c r="I24" s="170" t="s">
        <v>52</v>
      </c>
    </row>
    <row r="25" spans="1:9" s="49" customFormat="1" ht="56.25">
      <c r="A25" s="289" t="s">
        <v>62</v>
      </c>
      <c r="B25" s="282" t="s">
        <v>259</v>
      </c>
      <c r="C25" s="175">
        <v>180</v>
      </c>
      <c r="D25" s="176">
        <f>F25+G25</f>
        <v>1100000</v>
      </c>
      <c r="E25" s="176" t="s">
        <v>52</v>
      </c>
      <c r="F25" s="176">
        <v>1100000</v>
      </c>
      <c r="G25" s="176">
        <v>0</v>
      </c>
      <c r="H25" s="176" t="s">
        <v>52</v>
      </c>
      <c r="I25" s="290" t="s">
        <v>52</v>
      </c>
    </row>
    <row r="26" spans="1:13" s="49" customFormat="1" ht="43.5" customHeight="1">
      <c r="A26" s="292" t="s">
        <v>63</v>
      </c>
      <c r="B26" s="282" t="s">
        <v>261</v>
      </c>
      <c r="C26" s="175">
        <v>180</v>
      </c>
      <c r="D26" s="176">
        <f>H26</f>
        <v>0</v>
      </c>
      <c r="E26" s="176" t="s">
        <v>52</v>
      </c>
      <c r="F26" s="176" t="s">
        <v>52</v>
      </c>
      <c r="G26" s="176" t="s">
        <v>52</v>
      </c>
      <c r="H26" s="176">
        <v>0</v>
      </c>
      <c r="I26" s="290">
        <v>0</v>
      </c>
      <c r="M26" s="111">
        <f>D27-D12</f>
        <v>-0.004365518689155579</v>
      </c>
    </row>
    <row r="27" spans="1:13" s="51" customFormat="1" ht="53.25" customHeight="1">
      <c r="A27" s="320" t="s">
        <v>64</v>
      </c>
      <c r="B27" s="321" t="s">
        <v>262</v>
      </c>
      <c r="C27" s="322" t="s">
        <v>52</v>
      </c>
      <c r="D27" s="323">
        <f>D28+D34+D37+D43+D47</f>
        <v>46157265.91654357</v>
      </c>
      <c r="E27" s="323">
        <f>E28+E34+E37+E43+E47</f>
        <v>40445487.22563448</v>
      </c>
      <c r="F27" s="323">
        <f>F28+F34+F37+F43+F47</f>
        <v>1100000</v>
      </c>
      <c r="G27" s="323">
        <f>G28+G34+G37+G43+G47</f>
        <v>0</v>
      </c>
      <c r="H27" s="323">
        <f>H28+H34+H37+H43+H47</f>
        <v>4611778.690909091</v>
      </c>
      <c r="I27" s="324">
        <v>0</v>
      </c>
      <c r="M27" s="51" t="s">
        <v>260</v>
      </c>
    </row>
    <row r="28" spans="1:9" s="148" customFormat="1" ht="18.75">
      <c r="A28" s="292" t="s">
        <v>22</v>
      </c>
      <c r="B28" s="430" t="s">
        <v>263</v>
      </c>
      <c r="C28" s="431">
        <v>100</v>
      </c>
      <c r="D28" s="432">
        <f>D30+D32+D33</f>
        <v>33687446.51573448</v>
      </c>
      <c r="E28" s="432">
        <f>E30+E32+E33</f>
        <v>32587446.515734483</v>
      </c>
      <c r="F28" s="432">
        <f>F30+F32+F33</f>
        <v>1100000</v>
      </c>
      <c r="G28" s="432">
        <f>G30+G32+G33</f>
        <v>0</v>
      </c>
      <c r="H28" s="432">
        <f>H30+H32+H33</f>
        <v>0</v>
      </c>
      <c r="I28" s="433">
        <v>0</v>
      </c>
    </row>
    <row r="29" spans="1:13" s="148" customFormat="1" ht="37.5">
      <c r="A29" s="292" t="s">
        <v>65</v>
      </c>
      <c r="B29" s="430"/>
      <c r="C29" s="431"/>
      <c r="D29" s="432"/>
      <c r="E29" s="432"/>
      <c r="F29" s="432"/>
      <c r="G29" s="432"/>
      <c r="H29" s="432"/>
      <c r="I29" s="433"/>
      <c r="M29" s="112"/>
    </row>
    <row r="30" spans="1:9" s="148" customFormat="1" ht="18.75">
      <c r="A30" s="291" t="s">
        <v>4</v>
      </c>
      <c r="B30" s="494" t="s">
        <v>264</v>
      </c>
      <c r="C30" s="495">
        <v>111</v>
      </c>
      <c r="D30" s="496">
        <f>E30+F30+G30+H30</f>
        <v>25020460.855734482</v>
      </c>
      <c r="E30" s="496">
        <f>'Раздел II обоснование (2021)'!J28</f>
        <v>25020460.855734482</v>
      </c>
      <c r="F30" s="496">
        <v>0</v>
      </c>
      <c r="G30" s="496">
        <v>0</v>
      </c>
      <c r="H30" s="496">
        <v>0</v>
      </c>
      <c r="I30" s="497">
        <v>0</v>
      </c>
    </row>
    <row r="31" spans="1:9" s="148" customFormat="1" ht="18.75">
      <c r="A31" s="291" t="s">
        <v>66</v>
      </c>
      <c r="B31" s="494"/>
      <c r="C31" s="495"/>
      <c r="D31" s="496"/>
      <c r="E31" s="496"/>
      <c r="F31" s="496"/>
      <c r="G31" s="496"/>
      <c r="H31" s="496"/>
      <c r="I31" s="497"/>
    </row>
    <row r="32" spans="1:9" s="148" customFormat="1" ht="68.25" customHeight="1">
      <c r="A32" s="294" t="s">
        <v>67</v>
      </c>
      <c r="B32" s="283" t="s">
        <v>265</v>
      </c>
      <c r="C32" s="165">
        <v>112</v>
      </c>
      <c r="D32" s="166">
        <f>E32+F32+G32+H32</f>
        <v>1103240</v>
      </c>
      <c r="E32" s="166">
        <f>'Раздел II обоснование (2021)'!F43</f>
        <v>3240</v>
      </c>
      <c r="F32" s="166">
        <v>1100000</v>
      </c>
      <c r="G32" s="166">
        <v>0</v>
      </c>
      <c r="H32" s="166">
        <v>0</v>
      </c>
      <c r="I32" s="170">
        <v>0</v>
      </c>
    </row>
    <row r="33" spans="1:9" s="148" customFormat="1" ht="117" customHeight="1">
      <c r="A33" s="294" t="s">
        <v>68</v>
      </c>
      <c r="B33" s="283" t="s">
        <v>266</v>
      </c>
      <c r="C33" s="165">
        <v>119</v>
      </c>
      <c r="D33" s="166">
        <f>E33+F33+G33+H33</f>
        <v>7563745.66</v>
      </c>
      <c r="E33" s="166">
        <f>'Раздел II обоснование (2021)'!D55</f>
        <v>7563745.66</v>
      </c>
      <c r="F33" s="166">
        <v>0</v>
      </c>
      <c r="G33" s="166">
        <v>0</v>
      </c>
      <c r="H33" s="166">
        <v>0</v>
      </c>
      <c r="I33" s="170">
        <v>0</v>
      </c>
    </row>
    <row r="34" spans="1:9" s="148" customFormat="1" ht="47.25" customHeight="1">
      <c r="A34" s="295" t="s">
        <v>69</v>
      </c>
      <c r="B34" s="282" t="s">
        <v>267</v>
      </c>
      <c r="C34" s="175">
        <v>300</v>
      </c>
      <c r="D34" s="176">
        <f>D35</f>
        <v>0</v>
      </c>
      <c r="E34" s="176">
        <f>E35</f>
        <v>0</v>
      </c>
      <c r="F34" s="176">
        <f>F35</f>
        <v>0</v>
      </c>
      <c r="G34" s="176">
        <f>G35</f>
        <v>0</v>
      </c>
      <c r="H34" s="176">
        <f>H35</f>
        <v>0</v>
      </c>
      <c r="I34" s="290">
        <v>0</v>
      </c>
    </row>
    <row r="35" spans="1:9" s="148" customFormat="1" ht="18.75">
      <c r="A35" s="294" t="s">
        <v>4</v>
      </c>
      <c r="B35" s="494" t="s">
        <v>268</v>
      </c>
      <c r="C35" s="495">
        <v>321</v>
      </c>
      <c r="D35" s="496">
        <f>E35+F35+G35+H35</f>
        <v>0</v>
      </c>
      <c r="E35" s="496">
        <v>0</v>
      </c>
      <c r="F35" s="496">
        <v>0</v>
      </c>
      <c r="G35" s="496">
        <v>0</v>
      </c>
      <c r="H35" s="496">
        <v>0</v>
      </c>
      <c r="I35" s="497">
        <v>0</v>
      </c>
    </row>
    <row r="36" spans="1:9" s="148" customFormat="1" ht="75">
      <c r="A36" s="294" t="s">
        <v>70</v>
      </c>
      <c r="B36" s="494"/>
      <c r="C36" s="495"/>
      <c r="D36" s="496"/>
      <c r="E36" s="496"/>
      <c r="F36" s="496"/>
      <c r="G36" s="496"/>
      <c r="H36" s="496"/>
      <c r="I36" s="497"/>
    </row>
    <row r="37" spans="1:9" s="148" customFormat="1" ht="53.25" customHeight="1">
      <c r="A37" s="295" t="s">
        <v>71</v>
      </c>
      <c r="B37" s="282" t="s">
        <v>269</v>
      </c>
      <c r="C37" s="175">
        <v>850</v>
      </c>
      <c r="D37" s="176">
        <f>D38+D40+D41+D42</f>
        <v>677975.9998999999</v>
      </c>
      <c r="E37" s="176">
        <f>E38+E40+E41+E42</f>
        <v>677975.9998999999</v>
      </c>
      <c r="F37" s="176">
        <f>F38+F40+F41+F42</f>
        <v>0</v>
      </c>
      <c r="G37" s="176">
        <f>G40</f>
        <v>0</v>
      </c>
      <c r="H37" s="176">
        <f>H38+H40+H41+H42</f>
        <v>0</v>
      </c>
      <c r="I37" s="290">
        <v>0</v>
      </c>
    </row>
    <row r="38" spans="1:9" s="148" customFormat="1" ht="18.75">
      <c r="A38" s="294" t="s">
        <v>4</v>
      </c>
      <c r="B38" s="494" t="s">
        <v>270</v>
      </c>
      <c r="C38" s="495">
        <v>851</v>
      </c>
      <c r="D38" s="496">
        <f>E38+F38+H38</f>
        <v>447557.9999</v>
      </c>
      <c r="E38" s="496">
        <f>'Раздел II обоснование (2021)'!E76</f>
        <v>447557.9999</v>
      </c>
      <c r="F38" s="496">
        <v>0</v>
      </c>
      <c r="G38" s="496" t="s">
        <v>52</v>
      </c>
      <c r="H38" s="496">
        <v>0</v>
      </c>
      <c r="I38" s="497">
        <v>0</v>
      </c>
    </row>
    <row r="39" spans="1:9" s="148" customFormat="1" ht="18.75">
      <c r="A39" s="294" t="s">
        <v>92</v>
      </c>
      <c r="B39" s="494"/>
      <c r="C39" s="495"/>
      <c r="D39" s="496"/>
      <c r="E39" s="496"/>
      <c r="F39" s="496"/>
      <c r="G39" s="496"/>
      <c r="H39" s="496"/>
      <c r="I39" s="497"/>
    </row>
    <row r="40" spans="1:9" s="148" customFormat="1" ht="34.5" customHeight="1">
      <c r="A40" s="296" t="s">
        <v>72</v>
      </c>
      <c r="B40" s="283" t="s">
        <v>271</v>
      </c>
      <c r="C40" s="165">
        <v>851</v>
      </c>
      <c r="D40" s="166">
        <f>E40+F40+G40+H40</f>
        <v>230418</v>
      </c>
      <c r="E40" s="166">
        <f>'Раздел II обоснование (2021)'!E77</f>
        <v>230418</v>
      </c>
      <c r="F40" s="166">
        <v>0</v>
      </c>
      <c r="G40" s="166">
        <v>0</v>
      </c>
      <c r="H40" s="166">
        <v>0</v>
      </c>
      <c r="I40" s="170">
        <v>0</v>
      </c>
    </row>
    <row r="41" spans="1:9" s="148" customFormat="1" ht="60" customHeight="1">
      <c r="A41" s="294" t="s">
        <v>73</v>
      </c>
      <c r="B41" s="283" t="s">
        <v>272</v>
      </c>
      <c r="C41" s="165">
        <v>852</v>
      </c>
      <c r="D41" s="166">
        <f>E41+F41+H41</f>
        <v>0</v>
      </c>
      <c r="E41" s="166">
        <v>0</v>
      </c>
      <c r="F41" s="166">
        <v>0</v>
      </c>
      <c r="G41" s="166" t="s">
        <v>52</v>
      </c>
      <c r="H41" s="166">
        <v>0</v>
      </c>
      <c r="I41" s="170">
        <v>0</v>
      </c>
    </row>
    <row r="42" spans="1:9" s="148" customFormat="1" ht="51.75" customHeight="1">
      <c r="A42" s="294" t="s">
        <v>74</v>
      </c>
      <c r="B42" s="283" t="s">
        <v>273</v>
      </c>
      <c r="C42" s="165">
        <v>853</v>
      </c>
      <c r="D42" s="166">
        <f>E42+F42+H42</f>
        <v>0</v>
      </c>
      <c r="E42" s="166">
        <v>0</v>
      </c>
      <c r="F42" s="166">
        <v>0</v>
      </c>
      <c r="G42" s="166" t="s">
        <v>52</v>
      </c>
      <c r="H42" s="166">
        <v>0</v>
      </c>
      <c r="I42" s="170">
        <v>0</v>
      </c>
    </row>
    <row r="43" spans="1:9" s="49" customFormat="1" ht="56.25">
      <c r="A43" s="295" t="s">
        <v>75</v>
      </c>
      <c r="B43" s="282" t="s">
        <v>274</v>
      </c>
      <c r="C43" s="175">
        <v>400</v>
      </c>
      <c r="D43" s="176">
        <f>D44+D46</f>
        <v>0</v>
      </c>
      <c r="E43" s="176">
        <f>E44+E46</f>
        <v>0</v>
      </c>
      <c r="F43" s="176">
        <f>F44+F46</f>
        <v>0</v>
      </c>
      <c r="G43" s="176">
        <f>G44+G46</f>
        <v>0</v>
      </c>
      <c r="H43" s="176">
        <f>H44+H46</f>
        <v>0</v>
      </c>
      <c r="I43" s="290">
        <v>0</v>
      </c>
    </row>
    <row r="44" spans="1:9" s="148" customFormat="1" ht="18.75">
      <c r="A44" s="291" t="s">
        <v>4</v>
      </c>
      <c r="B44" s="494" t="s">
        <v>275</v>
      </c>
      <c r="C44" s="495">
        <v>416</v>
      </c>
      <c r="D44" s="496">
        <f>E44+F44+G44+H44</f>
        <v>0</v>
      </c>
      <c r="E44" s="496">
        <v>0</v>
      </c>
      <c r="F44" s="496">
        <v>0</v>
      </c>
      <c r="G44" s="496">
        <v>0</v>
      </c>
      <c r="H44" s="496">
        <v>0</v>
      </c>
      <c r="I44" s="497">
        <v>0</v>
      </c>
    </row>
    <row r="45" spans="1:9" s="148" customFormat="1" ht="93.75">
      <c r="A45" s="296" t="s">
        <v>76</v>
      </c>
      <c r="B45" s="494"/>
      <c r="C45" s="495"/>
      <c r="D45" s="496"/>
      <c r="E45" s="496"/>
      <c r="F45" s="496"/>
      <c r="G45" s="496"/>
      <c r="H45" s="496"/>
      <c r="I45" s="497"/>
    </row>
    <row r="46" spans="1:9" s="148" customFormat="1" ht="93.75">
      <c r="A46" s="296" t="s">
        <v>77</v>
      </c>
      <c r="B46" s="283" t="s">
        <v>276</v>
      </c>
      <c r="C46" s="165">
        <v>417</v>
      </c>
      <c r="D46" s="166">
        <f>E46+F46+G46+H46</f>
        <v>0</v>
      </c>
      <c r="E46" s="166">
        <v>0</v>
      </c>
      <c r="F46" s="166">
        <v>0</v>
      </c>
      <c r="G46" s="166">
        <v>0</v>
      </c>
      <c r="H46" s="166">
        <v>0</v>
      </c>
      <c r="I46" s="170">
        <v>0</v>
      </c>
    </row>
    <row r="47" spans="1:14" s="49" customFormat="1" ht="58.5" customHeight="1">
      <c r="A47" s="292" t="s">
        <v>78</v>
      </c>
      <c r="B47" s="282" t="s">
        <v>277</v>
      </c>
      <c r="C47" s="175">
        <v>200</v>
      </c>
      <c r="D47" s="176">
        <f>D48+D50</f>
        <v>11791843.400909092</v>
      </c>
      <c r="E47" s="176">
        <f>E48+E50</f>
        <v>7180064.71</v>
      </c>
      <c r="F47" s="176">
        <f>F48+F50</f>
        <v>0</v>
      </c>
      <c r="G47" s="176">
        <f>G48+G50</f>
        <v>0</v>
      </c>
      <c r="H47" s="176">
        <f>H48+H50</f>
        <v>4611778.690909091</v>
      </c>
      <c r="I47" s="290">
        <v>0</v>
      </c>
      <c r="M47" s="49" t="s">
        <v>292</v>
      </c>
      <c r="N47" s="111">
        <f>3240+3974368.66+500000</f>
        <v>4477608.66</v>
      </c>
    </row>
    <row r="48" spans="1:14" s="148" customFormat="1" ht="18.75">
      <c r="A48" s="291" t="s">
        <v>4</v>
      </c>
      <c r="B48" s="494" t="s">
        <v>278</v>
      </c>
      <c r="C48" s="495">
        <v>243</v>
      </c>
      <c r="D48" s="496">
        <f>E48+F48+G48+H48</f>
        <v>0</v>
      </c>
      <c r="E48" s="496">
        <v>0</v>
      </c>
      <c r="F48" s="496">
        <v>0</v>
      </c>
      <c r="G48" s="496">
        <v>0</v>
      </c>
      <c r="H48" s="496">
        <v>0</v>
      </c>
      <c r="I48" s="497">
        <v>0</v>
      </c>
      <c r="M48" s="158"/>
      <c r="N48" s="112">
        <f>E51+E32+E56+E57+E58+E59</f>
        <v>4477608.66</v>
      </c>
    </row>
    <row r="49" spans="1:14" s="148" customFormat="1" ht="56.25">
      <c r="A49" s="291" t="s">
        <v>79</v>
      </c>
      <c r="B49" s="494"/>
      <c r="C49" s="495"/>
      <c r="D49" s="496"/>
      <c r="E49" s="496"/>
      <c r="F49" s="496"/>
      <c r="G49" s="496"/>
      <c r="H49" s="496"/>
      <c r="I49" s="497"/>
      <c r="M49" s="158"/>
      <c r="N49" s="112">
        <f>N47-N48</f>
        <v>0</v>
      </c>
    </row>
    <row r="50" spans="1:13" s="148" customFormat="1" ht="75">
      <c r="A50" s="291" t="s">
        <v>80</v>
      </c>
      <c r="B50" s="283" t="s">
        <v>279</v>
      </c>
      <c r="C50" s="165">
        <v>244</v>
      </c>
      <c r="D50" s="166">
        <f aca="true" t="shared" si="0" ref="D50:I50">D51+D53+D54+D55+D56+D58+D59+D57</f>
        <v>11791843.400909092</v>
      </c>
      <c r="E50" s="166">
        <f>E51+E53+E54+E55+E56+E58+E59+E57</f>
        <v>7180064.71</v>
      </c>
      <c r="F50" s="166">
        <f t="shared" si="0"/>
        <v>0</v>
      </c>
      <c r="G50" s="166">
        <f t="shared" si="0"/>
        <v>0</v>
      </c>
      <c r="H50" s="166">
        <f t="shared" si="0"/>
        <v>4611778.690909091</v>
      </c>
      <c r="I50" s="166">
        <f t="shared" si="0"/>
        <v>0</v>
      </c>
      <c r="M50" s="112"/>
    </row>
    <row r="51" spans="1:9" s="148" customFormat="1" ht="18.75">
      <c r="A51" s="297" t="s">
        <v>4</v>
      </c>
      <c r="B51" s="494" t="s">
        <v>280</v>
      </c>
      <c r="C51" s="495">
        <v>244</v>
      </c>
      <c r="D51" s="496">
        <f>E51+F51+H51</f>
        <v>24000</v>
      </c>
      <c r="E51" s="496">
        <f>'Раздел II обоснование (2021)'!F90</f>
        <v>24000</v>
      </c>
      <c r="F51" s="496">
        <v>0</v>
      </c>
      <c r="G51" s="496">
        <v>0</v>
      </c>
      <c r="H51" s="496">
        <v>0</v>
      </c>
      <c r="I51" s="497">
        <v>0</v>
      </c>
    </row>
    <row r="52" spans="1:9" s="148" customFormat="1" ht="32.25" customHeight="1">
      <c r="A52" s="297" t="s">
        <v>81</v>
      </c>
      <c r="B52" s="494"/>
      <c r="C52" s="495"/>
      <c r="D52" s="496"/>
      <c r="E52" s="496"/>
      <c r="F52" s="496"/>
      <c r="G52" s="496"/>
      <c r="H52" s="496"/>
      <c r="I52" s="497"/>
    </row>
    <row r="53" spans="1:13" s="148" customFormat="1" ht="33" customHeight="1">
      <c r="A53" s="297" t="s">
        <v>82</v>
      </c>
      <c r="B53" s="283" t="s">
        <v>281</v>
      </c>
      <c r="C53" s="165">
        <v>244</v>
      </c>
      <c r="D53" s="166">
        <f>E53+F53+G53+H53</f>
        <v>0</v>
      </c>
      <c r="E53" s="166">
        <v>0</v>
      </c>
      <c r="F53" s="166">
        <v>0</v>
      </c>
      <c r="G53" s="166">
        <v>0</v>
      </c>
      <c r="H53" s="166">
        <v>0</v>
      </c>
      <c r="I53" s="170">
        <v>0</v>
      </c>
      <c r="M53" s="112"/>
    </row>
    <row r="54" spans="1:9" s="148" customFormat="1" ht="32.25" customHeight="1">
      <c r="A54" s="297" t="s">
        <v>83</v>
      </c>
      <c r="B54" s="283" t="s">
        <v>281</v>
      </c>
      <c r="C54" s="165">
        <v>244</v>
      </c>
      <c r="D54" s="166">
        <f>E54+F54+G54+H54</f>
        <v>2705696.05</v>
      </c>
      <c r="E54" s="166">
        <f>'Раздел II обоснование (2021)'!G109</f>
        <v>2705696.05</v>
      </c>
      <c r="F54" s="166">
        <v>0</v>
      </c>
      <c r="G54" s="166">
        <v>0</v>
      </c>
      <c r="H54" s="166">
        <v>0</v>
      </c>
      <c r="I54" s="170">
        <v>0</v>
      </c>
    </row>
    <row r="55" spans="1:9" s="148" customFormat="1" ht="51.75" customHeight="1">
      <c r="A55" s="297" t="s">
        <v>84</v>
      </c>
      <c r="B55" s="283" t="s">
        <v>282</v>
      </c>
      <c r="C55" s="165">
        <v>244</v>
      </c>
      <c r="D55" s="166">
        <f>E55+F55+H55</f>
        <v>0</v>
      </c>
      <c r="E55" s="166">
        <v>0</v>
      </c>
      <c r="F55" s="166">
        <v>0</v>
      </c>
      <c r="G55" s="166">
        <v>0</v>
      </c>
      <c r="H55" s="166">
        <v>0</v>
      </c>
      <c r="I55" s="170">
        <v>0</v>
      </c>
    </row>
    <row r="56" spans="1:9" s="148" customFormat="1" ht="48" customHeight="1">
      <c r="A56" s="297" t="s">
        <v>85</v>
      </c>
      <c r="B56" s="283" t="s">
        <v>283</v>
      </c>
      <c r="C56" s="165">
        <v>244</v>
      </c>
      <c r="D56" s="166">
        <f aca="true" t="shared" si="1" ref="D56:D61">E56+F56+G56+H56</f>
        <v>1433541.02</v>
      </c>
      <c r="E56" s="166">
        <f>'Раздел II обоснование (2021)'!E137</f>
        <v>1433541.02</v>
      </c>
      <c r="F56" s="166">
        <v>0</v>
      </c>
      <c r="G56" s="166">
        <v>0</v>
      </c>
      <c r="H56" s="166">
        <v>0</v>
      </c>
      <c r="I56" s="170">
        <v>0</v>
      </c>
    </row>
    <row r="57" spans="1:9" s="148" customFormat="1" ht="36.75" customHeight="1">
      <c r="A57" s="169" t="s">
        <v>86</v>
      </c>
      <c r="B57" s="283" t="s">
        <v>284</v>
      </c>
      <c r="C57" s="165">
        <v>244</v>
      </c>
      <c r="D57" s="166">
        <f t="shared" si="1"/>
        <v>1404528.46</v>
      </c>
      <c r="E57" s="166">
        <f>'Раздел II обоснование (2021)'!D152</f>
        <v>1404528.46</v>
      </c>
      <c r="F57" s="166">
        <v>0</v>
      </c>
      <c r="G57" s="166">
        <v>0</v>
      </c>
      <c r="H57" s="166">
        <v>0</v>
      </c>
      <c r="I57" s="170">
        <v>0</v>
      </c>
    </row>
    <row r="58" spans="1:9" s="148" customFormat="1" ht="51" customHeight="1">
      <c r="A58" s="297" t="s">
        <v>87</v>
      </c>
      <c r="B58" s="283" t="s">
        <v>285</v>
      </c>
      <c r="C58" s="165">
        <v>244</v>
      </c>
      <c r="D58" s="166">
        <f t="shared" si="1"/>
        <v>550960</v>
      </c>
      <c r="E58" s="166">
        <f>'Раздел II обоснование (2021)'!E160</f>
        <v>550960</v>
      </c>
      <c r="F58" s="166">
        <v>0</v>
      </c>
      <c r="G58" s="166">
        <v>0</v>
      </c>
      <c r="H58" s="166">
        <v>0</v>
      </c>
      <c r="I58" s="170">
        <v>0</v>
      </c>
    </row>
    <row r="59" spans="1:9" s="148" customFormat="1" ht="49.5" customHeight="1">
      <c r="A59" s="297" t="s">
        <v>88</v>
      </c>
      <c r="B59" s="283" t="s">
        <v>286</v>
      </c>
      <c r="C59" s="165">
        <v>244</v>
      </c>
      <c r="D59" s="166">
        <f t="shared" si="1"/>
        <v>5673117.870909091</v>
      </c>
      <c r="E59" s="166">
        <f>'Раздел II обоснование (2021)'!E163</f>
        <v>1061339.18</v>
      </c>
      <c r="F59" s="166">
        <v>0</v>
      </c>
      <c r="G59" s="166">
        <v>0</v>
      </c>
      <c r="H59" s="166">
        <f>'Раздел IIобоснованиеПДД (2021)'!E161</f>
        <v>4611778.690909091</v>
      </c>
      <c r="I59" s="170">
        <v>0</v>
      </c>
    </row>
    <row r="60" spans="1:9" ht="37.5">
      <c r="A60" s="298" t="s">
        <v>89</v>
      </c>
      <c r="B60" s="344" t="s">
        <v>287</v>
      </c>
      <c r="C60" s="271">
        <v>500</v>
      </c>
      <c r="D60" s="166">
        <f t="shared" si="1"/>
        <v>46157265.92090909</v>
      </c>
      <c r="E60" s="103">
        <f>E12</f>
        <v>40445487.23</v>
      </c>
      <c r="F60" s="103">
        <f>F12</f>
        <v>1100000</v>
      </c>
      <c r="G60" s="103">
        <v>0</v>
      </c>
      <c r="H60" s="103">
        <f>H12</f>
        <v>4611778.690909091</v>
      </c>
      <c r="I60" s="273">
        <v>0</v>
      </c>
    </row>
    <row r="61" spans="1:9" ht="37.5">
      <c r="A61" s="298" t="s">
        <v>90</v>
      </c>
      <c r="B61" s="344" t="s">
        <v>288</v>
      </c>
      <c r="C61" s="271">
        <v>600</v>
      </c>
      <c r="D61" s="166">
        <f t="shared" si="1"/>
        <v>46157265.91654357</v>
      </c>
      <c r="E61" s="103">
        <f>E27</f>
        <v>40445487.22563448</v>
      </c>
      <c r="F61" s="103">
        <f>F27</f>
        <v>1100000</v>
      </c>
      <c r="G61" s="103">
        <v>0</v>
      </c>
      <c r="H61" s="103">
        <f>H27</f>
        <v>4611778.690909091</v>
      </c>
      <c r="I61" s="273">
        <v>0</v>
      </c>
    </row>
    <row r="62" spans="1:9" ht="44.25" customHeight="1" thickBot="1">
      <c r="A62" s="299" t="s">
        <v>91</v>
      </c>
      <c r="B62" s="345" t="s">
        <v>289</v>
      </c>
      <c r="C62" s="300">
        <v>600</v>
      </c>
      <c r="D62" s="171">
        <f>E62+F62+G62+H62</f>
        <v>-0.004365518689155579</v>
      </c>
      <c r="E62" s="301">
        <f>E27-E12</f>
        <v>-0.004365518689155579</v>
      </c>
      <c r="F62" s="301">
        <f>F27-F12</f>
        <v>0</v>
      </c>
      <c r="G62" s="301">
        <f>G27-G12</f>
        <v>0</v>
      </c>
      <c r="H62" s="301">
        <f>H27-H12</f>
        <v>0</v>
      </c>
      <c r="I62" s="301">
        <f>I27-I12</f>
        <v>0</v>
      </c>
    </row>
    <row r="63" ht="15" hidden="1"/>
    <row r="64" ht="15" hidden="1"/>
    <row r="65" spans="1:12" ht="18.75" hidden="1">
      <c r="A65" s="391" t="s">
        <v>104</v>
      </c>
      <c r="B65" s="391"/>
      <c r="C65" s="391"/>
      <c r="D65" s="391"/>
      <c r="E65" s="391"/>
      <c r="F65" s="391"/>
      <c r="G65" s="391"/>
      <c r="H65" s="391"/>
      <c r="I65" s="391"/>
      <c r="J65" s="391"/>
      <c r="K65" s="391"/>
      <c r="L65" s="391"/>
    </row>
    <row r="66" spans="1:12" ht="18.75" hidden="1">
      <c r="A66" s="391" t="s">
        <v>302</v>
      </c>
      <c r="B66" s="391"/>
      <c r="C66" s="391"/>
      <c r="D66" s="391"/>
      <c r="E66" s="391"/>
      <c r="F66" s="391"/>
      <c r="G66" s="391"/>
      <c r="H66" s="391"/>
      <c r="I66" s="391"/>
      <c r="J66" s="391"/>
      <c r="K66" s="391"/>
      <c r="L66" s="391"/>
    </row>
    <row r="67" ht="15" hidden="1">
      <c r="L67" s="150" t="s">
        <v>105</v>
      </c>
    </row>
    <row r="68" spans="1:12" ht="19.5" hidden="1" thickBot="1">
      <c r="A68" s="482" t="s">
        <v>1</v>
      </c>
      <c r="B68" s="482" t="s">
        <v>42</v>
      </c>
      <c r="C68" s="482" t="s">
        <v>96</v>
      </c>
      <c r="D68" s="485" t="s">
        <v>97</v>
      </c>
      <c r="E68" s="486"/>
      <c r="F68" s="486"/>
      <c r="G68" s="486"/>
      <c r="H68" s="486"/>
      <c r="I68" s="486"/>
      <c r="J68" s="486"/>
      <c r="K68" s="486"/>
      <c r="L68" s="487"/>
    </row>
    <row r="69" spans="1:12" ht="19.5" hidden="1" thickBot="1">
      <c r="A69" s="483"/>
      <c r="B69" s="483"/>
      <c r="C69" s="483"/>
      <c r="D69" s="498" t="s">
        <v>98</v>
      </c>
      <c r="E69" s="499"/>
      <c r="F69" s="500"/>
      <c r="G69" s="485" t="s">
        <v>22</v>
      </c>
      <c r="H69" s="486"/>
      <c r="I69" s="486"/>
      <c r="J69" s="486"/>
      <c r="K69" s="486"/>
      <c r="L69" s="487"/>
    </row>
    <row r="70" spans="1:12" ht="65.25" customHeight="1" hidden="1" thickBot="1">
      <c r="A70" s="483"/>
      <c r="B70" s="483"/>
      <c r="C70" s="483"/>
      <c r="D70" s="501"/>
      <c r="E70" s="502"/>
      <c r="F70" s="503"/>
      <c r="G70" s="504" t="s">
        <v>99</v>
      </c>
      <c r="H70" s="505"/>
      <c r="I70" s="506"/>
      <c r="J70" s="504" t="s">
        <v>100</v>
      </c>
      <c r="K70" s="505"/>
      <c r="L70" s="506"/>
    </row>
    <row r="71" spans="1:12" ht="71.25" customHeight="1" hidden="1" thickBot="1">
      <c r="A71" s="484"/>
      <c r="B71" s="484"/>
      <c r="C71" s="484"/>
      <c r="D71" s="14" t="s">
        <v>386</v>
      </c>
      <c r="E71" s="14" t="s">
        <v>387</v>
      </c>
      <c r="F71" s="14" t="s">
        <v>388</v>
      </c>
      <c r="G71" s="14" t="s">
        <v>386</v>
      </c>
      <c r="H71" s="14" t="s">
        <v>387</v>
      </c>
      <c r="I71" s="14" t="s">
        <v>388</v>
      </c>
      <c r="J71" s="14" t="s">
        <v>386</v>
      </c>
      <c r="K71" s="14" t="s">
        <v>387</v>
      </c>
      <c r="L71" s="14" t="s">
        <v>388</v>
      </c>
    </row>
    <row r="72" spans="1:12" ht="19.5" hidden="1" thickBot="1">
      <c r="A72" s="147">
        <v>1</v>
      </c>
      <c r="B72" s="152">
        <v>2</v>
      </c>
      <c r="C72" s="152">
        <v>3</v>
      </c>
      <c r="D72" s="152">
        <v>4</v>
      </c>
      <c r="E72" s="152">
        <v>5</v>
      </c>
      <c r="F72" s="152">
        <v>6</v>
      </c>
      <c r="G72" s="152">
        <v>7</v>
      </c>
      <c r="H72" s="152">
        <v>8</v>
      </c>
      <c r="I72" s="152">
        <v>9</v>
      </c>
      <c r="J72" s="152">
        <v>10</v>
      </c>
      <c r="K72" s="152">
        <v>11</v>
      </c>
      <c r="L72" s="152">
        <v>12</v>
      </c>
    </row>
    <row r="73" spans="1:13" ht="57" hidden="1" thickBot="1">
      <c r="A73" s="146" t="s">
        <v>101</v>
      </c>
      <c r="B73" s="48" t="s">
        <v>290</v>
      </c>
      <c r="C73" s="152" t="s">
        <v>52</v>
      </c>
      <c r="D73" s="16"/>
      <c r="E73" s="16"/>
      <c r="F73" s="16"/>
      <c r="G73" s="16"/>
      <c r="H73" s="16"/>
      <c r="I73" s="16"/>
      <c r="J73" s="16"/>
      <c r="K73" s="16"/>
      <c r="L73" s="16"/>
      <c r="M73" s="150" t="s">
        <v>291</v>
      </c>
    </row>
    <row r="74" spans="1:12" ht="75.75" hidden="1" thickBot="1">
      <c r="A74" s="146" t="s">
        <v>102</v>
      </c>
      <c r="B74" s="152">
        <v>1001</v>
      </c>
      <c r="C74" s="152" t="s">
        <v>52</v>
      </c>
      <c r="D74" s="16"/>
      <c r="E74" s="16"/>
      <c r="F74" s="16"/>
      <c r="G74" s="16"/>
      <c r="H74" s="16"/>
      <c r="I74" s="16"/>
      <c r="J74" s="16"/>
      <c r="K74" s="16"/>
      <c r="L74" s="16"/>
    </row>
    <row r="75" spans="1:12" ht="38.25" hidden="1" thickBot="1">
      <c r="A75" s="146" t="s">
        <v>103</v>
      </c>
      <c r="B75" s="152">
        <v>2001</v>
      </c>
      <c r="C75" s="1"/>
      <c r="D75" s="16"/>
      <c r="E75" s="16"/>
      <c r="F75" s="16"/>
      <c r="G75" s="16"/>
      <c r="H75" s="16"/>
      <c r="I75" s="16"/>
      <c r="J75" s="16"/>
      <c r="K75" s="16"/>
      <c r="L75" s="16"/>
    </row>
    <row r="76" ht="15" hidden="1"/>
    <row r="77" ht="15" hidden="1"/>
    <row r="78" spans="2:6" ht="37.5" customHeight="1" hidden="1">
      <c r="B78" s="391" t="s">
        <v>391</v>
      </c>
      <c r="C78" s="391"/>
      <c r="D78" s="391"/>
      <c r="E78" s="391"/>
      <c r="F78" s="391"/>
    </row>
    <row r="79" spans="2:6" ht="18.75" customHeight="1" hidden="1">
      <c r="B79" s="391" t="s">
        <v>303</v>
      </c>
      <c r="C79" s="391"/>
      <c r="D79" s="391"/>
      <c r="E79" s="391"/>
      <c r="F79" s="391"/>
    </row>
    <row r="80" spans="2:6" ht="15" hidden="1">
      <c r="B80" s="456" t="s">
        <v>110</v>
      </c>
      <c r="C80" s="456"/>
      <c r="D80" s="456"/>
      <c r="E80" s="456"/>
      <c r="F80" s="456"/>
    </row>
    <row r="81" spans="2:6" ht="18.75" hidden="1">
      <c r="B81" s="145"/>
      <c r="C81" s="145"/>
      <c r="D81" s="145"/>
      <c r="E81" s="150" t="s">
        <v>111</v>
      </c>
      <c r="F81" s="145"/>
    </row>
    <row r="82" spans="3:5" ht="18.75" hidden="1">
      <c r="C82" s="482" t="s">
        <v>1</v>
      </c>
      <c r="D82" s="482" t="s">
        <v>42</v>
      </c>
      <c r="E82" s="151" t="s">
        <v>106</v>
      </c>
    </row>
    <row r="83" spans="3:5" ht="94.5" hidden="1" thickBot="1">
      <c r="C83" s="484"/>
      <c r="D83" s="484"/>
      <c r="E83" s="152" t="s">
        <v>107</v>
      </c>
    </row>
    <row r="84" spans="3:5" ht="19.5" hidden="1" thickBot="1">
      <c r="C84" s="147">
        <v>1</v>
      </c>
      <c r="D84" s="152">
        <v>2</v>
      </c>
      <c r="E84" s="152">
        <v>3</v>
      </c>
    </row>
    <row r="85" spans="3:5" ht="38.25" hidden="1" thickBot="1">
      <c r="C85" s="146" t="s">
        <v>51</v>
      </c>
      <c r="D85" s="152">
        <v>10</v>
      </c>
      <c r="E85" s="16"/>
    </row>
    <row r="86" spans="3:5" ht="38.25" hidden="1" thickBot="1">
      <c r="C86" s="146" t="s">
        <v>91</v>
      </c>
      <c r="D86" s="152">
        <v>20</v>
      </c>
      <c r="E86" s="1"/>
    </row>
    <row r="87" spans="3:5" ht="19.5" hidden="1" thickBot="1">
      <c r="C87" s="146" t="s">
        <v>108</v>
      </c>
      <c r="D87" s="152">
        <v>30</v>
      </c>
      <c r="E87" s="1"/>
    </row>
    <row r="88" spans="3:5" ht="19.5" hidden="1" thickBot="1">
      <c r="C88" s="146"/>
      <c r="D88" s="1"/>
      <c r="E88" s="1"/>
    </row>
    <row r="89" spans="3:5" ht="19.5" hidden="1" thickBot="1">
      <c r="C89" s="146" t="s">
        <v>109</v>
      </c>
      <c r="D89" s="152">
        <v>40</v>
      </c>
      <c r="E89" s="1"/>
    </row>
    <row r="90" spans="3:5" ht="19.5" hidden="1" thickBot="1">
      <c r="C90" s="146"/>
      <c r="D90" s="1"/>
      <c r="E90" s="1"/>
    </row>
    <row r="91" ht="15" hidden="1"/>
    <row r="92" ht="18.75" hidden="1">
      <c r="A92" s="6"/>
    </row>
    <row r="93" spans="1:5" ht="57" customHeight="1" hidden="1">
      <c r="A93" s="402" t="s">
        <v>377</v>
      </c>
      <c r="B93" s="402"/>
      <c r="C93" s="507" t="s">
        <v>378</v>
      </c>
      <c r="D93" s="507"/>
      <c r="E93" s="149" t="s">
        <v>379</v>
      </c>
    </row>
    <row r="94" spans="1:4" ht="26.25" customHeight="1" hidden="1">
      <c r="A94" s="6" t="s">
        <v>118</v>
      </c>
      <c r="C94" s="453" t="s">
        <v>116</v>
      </c>
      <c r="D94" s="453"/>
    </row>
    <row r="95" spans="1:4" ht="18.75" hidden="1">
      <c r="A95" s="6" t="s">
        <v>112</v>
      </c>
      <c r="B95" s="150" t="s">
        <v>114</v>
      </c>
      <c r="D95" s="13"/>
    </row>
    <row r="96" ht="18.75" hidden="1">
      <c r="A96" s="6" t="s">
        <v>113</v>
      </c>
    </row>
    <row r="97" ht="18.75" hidden="1">
      <c r="A97" s="6"/>
    </row>
    <row r="98" spans="1:6" ht="37.5" customHeight="1" hidden="1">
      <c r="A98" s="6" t="s">
        <v>115</v>
      </c>
      <c r="C98" s="508" t="s">
        <v>380</v>
      </c>
      <c r="D98" s="508"/>
      <c r="E98" s="455" t="s">
        <v>381</v>
      </c>
      <c r="F98" s="455"/>
    </row>
    <row r="99" spans="1:4" ht="45" customHeight="1" hidden="1">
      <c r="A99" s="6"/>
      <c r="C99" s="453" t="s">
        <v>117</v>
      </c>
      <c r="D99" s="453"/>
    </row>
    <row r="1206" ht="15"/>
  </sheetData>
  <sheetProtection/>
  <mergeCells count="123">
    <mergeCell ref="A93:B93"/>
    <mergeCell ref="C93:D93"/>
    <mergeCell ref="C94:D94"/>
    <mergeCell ref="C98:D98"/>
    <mergeCell ref="E98:F98"/>
    <mergeCell ref="C99:D99"/>
    <mergeCell ref="G70:I70"/>
    <mergeCell ref="J70:L70"/>
    <mergeCell ref="B78:F78"/>
    <mergeCell ref="B79:F79"/>
    <mergeCell ref="B80:F80"/>
    <mergeCell ref="C82:C83"/>
    <mergeCell ref="D82:D83"/>
    <mergeCell ref="H51:H52"/>
    <mergeCell ref="I51:I52"/>
    <mergeCell ref="A65:L65"/>
    <mergeCell ref="A66:L66"/>
    <mergeCell ref="A68:A71"/>
    <mergeCell ref="B68:B71"/>
    <mergeCell ref="C68:C71"/>
    <mergeCell ref="D68:L68"/>
    <mergeCell ref="D69:F70"/>
    <mergeCell ref="G69:L69"/>
    <mergeCell ref="B51:B52"/>
    <mergeCell ref="C51:C52"/>
    <mergeCell ref="D51:D52"/>
    <mergeCell ref="E51:E52"/>
    <mergeCell ref="F51:F52"/>
    <mergeCell ref="G51:G52"/>
    <mergeCell ref="H44:H45"/>
    <mergeCell ref="I44:I45"/>
    <mergeCell ref="B48:B49"/>
    <mergeCell ref="C48:C49"/>
    <mergeCell ref="D48:D49"/>
    <mergeCell ref="E48:E49"/>
    <mergeCell ref="F48:F49"/>
    <mergeCell ref="G48:G49"/>
    <mergeCell ref="H48:H49"/>
    <mergeCell ref="I48:I49"/>
    <mergeCell ref="B44:B45"/>
    <mergeCell ref="C44:C45"/>
    <mergeCell ref="D44:D45"/>
    <mergeCell ref="E44:E45"/>
    <mergeCell ref="F44:F45"/>
    <mergeCell ref="G44:G45"/>
    <mergeCell ref="H35:H36"/>
    <mergeCell ref="I35:I36"/>
    <mergeCell ref="B38:B39"/>
    <mergeCell ref="C38:C39"/>
    <mergeCell ref="D38:D39"/>
    <mergeCell ref="E38:E39"/>
    <mergeCell ref="F38:F39"/>
    <mergeCell ref="G38:G39"/>
    <mergeCell ref="H38:H39"/>
    <mergeCell ref="I38:I39"/>
    <mergeCell ref="B35:B36"/>
    <mergeCell ref="C35:C36"/>
    <mergeCell ref="D35:D36"/>
    <mergeCell ref="E35:E36"/>
    <mergeCell ref="F35:F36"/>
    <mergeCell ref="G35:G36"/>
    <mergeCell ref="H28:H29"/>
    <mergeCell ref="I28:I29"/>
    <mergeCell ref="B30:B31"/>
    <mergeCell ref="C30:C31"/>
    <mergeCell ref="D30:D31"/>
    <mergeCell ref="E30:E31"/>
    <mergeCell ref="F30:F31"/>
    <mergeCell ref="G30:G31"/>
    <mergeCell ref="H30:H31"/>
    <mergeCell ref="I30:I31"/>
    <mergeCell ref="B28:B29"/>
    <mergeCell ref="C28:C29"/>
    <mergeCell ref="D28:D29"/>
    <mergeCell ref="E28:E29"/>
    <mergeCell ref="F28:F29"/>
    <mergeCell ref="G28:G29"/>
    <mergeCell ref="H18:H19"/>
    <mergeCell ref="I18:I19"/>
    <mergeCell ref="B21:B22"/>
    <mergeCell ref="C21:C22"/>
    <mergeCell ref="D21:D22"/>
    <mergeCell ref="E21:E22"/>
    <mergeCell ref="F21:F22"/>
    <mergeCell ref="G21:G22"/>
    <mergeCell ref="H21:H22"/>
    <mergeCell ref="I21:I22"/>
    <mergeCell ref="B18:B19"/>
    <mergeCell ref="C18:C19"/>
    <mergeCell ref="D18:D19"/>
    <mergeCell ref="E18:E19"/>
    <mergeCell ref="F18:F19"/>
    <mergeCell ref="G18:G19"/>
    <mergeCell ref="I13:I14"/>
    <mergeCell ref="M13:M16"/>
    <mergeCell ref="B15:B16"/>
    <mergeCell ref="C15:C16"/>
    <mergeCell ref="D15:D16"/>
    <mergeCell ref="E15:E16"/>
    <mergeCell ref="F15:F16"/>
    <mergeCell ref="G15:G16"/>
    <mergeCell ref="H15:H16"/>
    <mergeCell ref="I15:I16"/>
    <mergeCell ref="G8:G9"/>
    <mergeCell ref="H8:I8"/>
    <mergeCell ref="A13:A14"/>
    <mergeCell ref="B13:B14"/>
    <mergeCell ref="C13:C14"/>
    <mergeCell ref="D13:D14"/>
    <mergeCell ref="E13:E14"/>
    <mergeCell ref="F13:F14"/>
    <mergeCell ref="G13:G14"/>
    <mergeCell ref="H13:H14"/>
    <mergeCell ref="A3:I3"/>
    <mergeCell ref="A4:I4"/>
    <mergeCell ref="A6:A9"/>
    <mergeCell ref="B6:B9"/>
    <mergeCell ref="C6:C9"/>
    <mergeCell ref="D6:I6"/>
    <mergeCell ref="D7:D9"/>
    <mergeCell ref="E7:I7"/>
    <mergeCell ref="E8:E9"/>
    <mergeCell ref="F8:F9"/>
  </mergeCells>
  <hyperlinks>
    <hyperlink ref="A6" location="Par1206" display="Par1206"/>
    <hyperlink ref="F8" r:id="rId1" display="consultantplus://offline/ref=EC513630DD0A2F9B2EC0205798B851993A5251D08ECB4308CDDA19182ECC2154EE9666852E0BHBNDC"/>
    <hyperlink ref="G70" r:id="rId2" display="consultantplus://offline/ref=EC513630DD0A2F9B2EC0205798B851993A5256DB8AC84308CDDA19182EHCNCC"/>
    <hyperlink ref="J70" r:id="rId3" display="consultantplus://offline/ref=EC513630DD0A2F9B2EC0205798B851993A5256DC8DCE4308CDDA19182EHCNC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4" r:id="rId4"/>
  <rowBreaks count="3" manualBreakCount="3">
    <brk id="26" max="8" man="1"/>
    <brk id="45" max="8" man="1"/>
    <brk id="62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AE169"/>
  <sheetViews>
    <sheetView view="pageBreakPreview" zoomScale="60" zoomScaleNormal="72" zoomScalePageLayoutView="0" workbookViewId="0" topLeftCell="A43">
      <selection activeCell="L59" sqref="L59:M59"/>
    </sheetView>
  </sheetViews>
  <sheetFormatPr defaultColWidth="9.140625" defaultRowHeight="15"/>
  <cols>
    <col min="1" max="1" width="8.57421875" style="184" customWidth="1"/>
    <col min="2" max="2" width="30.140625" style="184" customWidth="1"/>
    <col min="3" max="3" width="23.28125" style="184" customWidth="1"/>
    <col min="4" max="4" width="20.421875" style="184" customWidth="1"/>
    <col min="5" max="5" width="21.7109375" style="184" customWidth="1"/>
    <col min="6" max="6" width="21.421875" style="184" customWidth="1"/>
    <col min="7" max="7" width="19.8515625" style="184" customWidth="1"/>
    <col min="8" max="8" width="17.28125" style="184" customWidth="1"/>
    <col min="9" max="9" width="16.421875" style="184" customWidth="1"/>
    <col min="10" max="10" width="21.140625" style="184" customWidth="1"/>
    <col min="11" max="12" width="18.00390625" style="184" customWidth="1"/>
    <col min="13" max="13" width="26.28125" style="184" customWidth="1"/>
    <col min="14" max="14" width="19.421875" style="184" customWidth="1"/>
    <col min="15" max="15" width="14.421875" style="184" bestFit="1" customWidth="1"/>
    <col min="16" max="16" width="16.140625" style="184" bestFit="1" customWidth="1"/>
    <col min="17" max="23" width="9.140625" style="184" customWidth="1"/>
    <col min="24" max="24" width="25.8515625" style="184" customWidth="1"/>
    <col min="25" max="25" width="18.7109375" style="184" customWidth="1"/>
    <col min="26" max="26" width="14.00390625" style="184" bestFit="1" customWidth="1"/>
    <col min="27" max="29" width="9.140625" style="184" customWidth="1"/>
    <col min="30" max="30" width="13.7109375" style="184" bestFit="1" customWidth="1"/>
    <col min="31" max="31" width="13.421875" style="184" bestFit="1" customWidth="1"/>
    <col min="32" max="16384" width="9.140625" style="184" customWidth="1"/>
  </cols>
  <sheetData>
    <row r="1" ht="18.75">
      <c r="J1" s="185" t="s">
        <v>119</v>
      </c>
    </row>
    <row r="2" ht="18.75">
      <c r="J2" s="185" t="s">
        <v>120</v>
      </c>
    </row>
    <row r="3" ht="16.5">
      <c r="J3" s="186" t="s">
        <v>121</v>
      </c>
    </row>
    <row r="4" ht="16.5">
      <c r="J4" s="186" t="s">
        <v>122</v>
      </c>
    </row>
    <row r="5" ht="16.5">
      <c r="J5" s="186" t="s">
        <v>123</v>
      </c>
    </row>
    <row r="6" ht="16.5">
      <c r="J6" s="186" t="s">
        <v>124</v>
      </c>
    </row>
    <row r="7" ht="16.5">
      <c r="J7" s="186" t="s">
        <v>125</v>
      </c>
    </row>
    <row r="8" ht="16.5">
      <c r="J8" s="186" t="s">
        <v>126</v>
      </c>
    </row>
    <row r="11" spans="1:10" ht="15" customHeight="1">
      <c r="A11" s="465" t="s">
        <v>442</v>
      </c>
      <c r="B11" s="465"/>
      <c r="C11" s="465"/>
      <c r="D11" s="465"/>
      <c r="E11" s="465"/>
      <c r="F11" s="465"/>
      <c r="G11" s="465"/>
      <c r="H11" s="465"/>
      <c r="I11" s="465"/>
      <c r="J11" s="465"/>
    </row>
    <row r="12" spans="1:10" ht="18.75">
      <c r="A12" s="187"/>
      <c r="B12" s="187"/>
      <c r="C12" s="188"/>
      <c r="D12" s="187"/>
      <c r="E12" s="187"/>
      <c r="F12" s="187"/>
      <c r="G12" s="187"/>
      <c r="H12" s="187"/>
      <c r="I12" s="187"/>
      <c r="J12" s="187"/>
    </row>
    <row r="13" spans="1:10" ht="18.75">
      <c r="A13" s="465" t="s">
        <v>127</v>
      </c>
      <c r="B13" s="465"/>
      <c r="C13" s="465"/>
      <c r="D13" s="465"/>
      <c r="E13" s="465"/>
      <c r="F13" s="465"/>
      <c r="G13" s="465"/>
      <c r="H13" s="465"/>
      <c r="I13" s="465"/>
      <c r="J13" s="465"/>
    </row>
    <row r="14" spans="1:10" ht="15">
      <c r="A14" s="187"/>
      <c r="B14" s="187"/>
      <c r="C14" s="187"/>
      <c r="D14" s="187"/>
      <c r="E14" s="187"/>
      <c r="F14" s="187"/>
      <c r="G14" s="187"/>
      <c r="H14" s="187"/>
      <c r="I14" s="187"/>
      <c r="J14" s="187"/>
    </row>
    <row r="15" spans="1:10" ht="18.75">
      <c r="A15" s="466" t="s">
        <v>306</v>
      </c>
      <c r="B15" s="466"/>
      <c r="C15" s="466"/>
      <c r="D15" s="466"/>
      <c r="E15" s="466"/>
      <c r="F15" s="466"/>
      <c r="G15" s="466"/>
      <c r="H15" s="466"/>
      <c r="I15" s="466"/>
      <c r="J15" s="466"/>
    </row>
    <row r="16" spans="1:10" ht="21" customHeight="1">
      <c r="A16" s="466" t="s">
        <v>307</v>
      </c>
      <c r="B16" s="466"/>
      <c r="C16" s="466"/>
      <c r="D16" s="466"/>
      <c r="E16" s="466"/>
      <c r="F16" s="466"/>
      <c r="G16" s="466"/>
      <c r="H16" s="466"/>
      <c r="I16" s="466"/>
      <c r="J16" s="466"/>
    </row>
    <row r="17" ht="18.75">
      <c r="A17" s="189"/>
    </row>
    <row r="18" spans="1:10" ht="18.75">
      <c r="A18" s="465" t="s">
        <v>128</v>
      </c>
      <c r="B18" s="465"/>
      <c r="C18" s="465"/>
      <c r="D18" s="465"/>
      <c r="E18" s="465"/>
      <c r="F18" s="465"/>
      <c r="G18" s="465"/>
      <c r="H18" s="465"/>
      <c r="I18" s="465"/>
      <c r="J18" s="465"/>
    </row>
    <row r="19" ht="15.75" thickBot="1"/>
    <row r="20" spans="1:24" ht="36" customHeight="1">
      <c r="A20" s="447" t="s">
        <v>0</v>
      </c>
      <c r="B20" s="423" t="s">
        <v>129</v>
      </c>
      <c r="C20" s="423" t="s">
        <v>385</v>
      </c>
      <c r="D20" s="423" t="s">
        <v>131</v>
      </c>
      <c r="E20" s="423"/>
      <c r="F20" s="423"/>
      <c r="G20" s="423"/>
      <c r="H20" s="423" t="s">
        <v>132</v>
      </c>
      <c r="I20" s="423" t="s">
        <v>133</v>
      </c>
      <c r="J20" s="426" t="s">
        <v>384</v>
      </c>
      <c r="K20" s="190"/>
      <c r="L20" s="191"/>
      <c r="X20" s="190"/>
    </row>
    <row r="21" spans="1:14" ht="18.75">
      <c r="A21" s="448"/>
      <c r="B21" s="424"/>
      <c r="C21" s="424"/>
      <c r="D21" s="424" t="s">
        <v>135</v>
      </c>
      <c r="E21" s="424" t="s">
        <v>22</v>
      </c>
      <c r="F21" s="424"/>
      <c r="G21" s="424"/>
      <c r="H21" s="424"/>
      <c r="I21" s="424"/>
      <c r="J21" s="427"/>
      <c r="M21" s="190"/>
      <c r="N21" s="192"/>
    </row>
    <row r="22" spans="1:10" ht="109.5" customHeight="1" thickBot="1">
      <c r="A22" s="449"/>
      <c r="B22" s="425"/>
      <c r="C22" s="425"/>
      <c r="D22" s="425"/>
      <c r="E22" s="236" t="s">
        <v>136</v>
      </c>
      <c r="F22" s="236" t="s">
        <v>137</v>
      </c>
      <c r="G22" s="236" t="s">
        <v>138</v>
      </c>
      <c r="H22" s="425"/>
      <c r="I22" s="425"/>
      <c r="J22" s="467"/>
    </row>
    <row r="23" spans="1:13" ht="18.75">
      <c r="A23" s="193">
        <v>1</v>
      </c>
      <c r="B23" s="194">
        <v>2</v>
      </c>
      <c r="C23" s="194">
        <v>3</v>
      </c>
      <c r="D23" s="194">
        <v>4</v>
      </c>
      <c r="E23" s="194">
        <v>5</v>
      </c>
      <c r="F23" s="194">
        <v>6</v>
      </c>
      <c r="G23" s="194">
        <v>7</v>
      </c>
      <c r="H23" s="194">
        <v>8</v>
      </c>
      <c r="I23" s="194">
        <v>9</v>
      </c>
      <c r="J23" s="195">
        <v>10</v>
      </c>
      <c r="L23" s="190"/>
      <c r="M23" s="190"/>
    </row>
    <row r="24" spans="1:28" ht="37.5">
      <c r="A24" s="363">
        <v>1</v>
      </c>
      <c r="B24" s="360" t="s">
        <v>308</v>
      </c>
      <c r="C24" s="360">
        <v>2</v>
      </c>
      <c r="D24" s="361">
        <f>(E24+F24+G24)</f>
        <v>37500.0095099945</v>
      </c>
      <c r="E24" s="361">
        <f>42450*1.043/C24</f>
        <v>22137.675</v>
      </c>
      <c r="F24" s="361"/>
      <c r="G24" s="361">
        <f>E24*K24-385.9201923+2884.615385</f>
        <v>15362.3345099945</v>
      </c>
      <c r="H24" s="361"/>
      <c r="I24" s="361">
        <v>1.6</v>
      </c>
      <c r="J24" s="359">
        <f>((D24*I24)+(D24))*C24*12-0.59</f>
        <v>2340000.0034236573</v>
      </c>
      <c r="K24" s="184">
        <v>0.58107454</v>
      </c>
      <c r="L24" s="190">
        <f>J24/C24/12</f>
        <v>97500.00014265238</v>
      </c>
      <c r="M24" s="192"/>
      <c r="X24" s="190"/>
      <c r="Y24" s="190"/>
      <c r="AB24" s="184">
        <f aca="true" t="shared" si="0" ref="AB24:AB29">D24*2.6</f>
        <v>97500.02472598571</v>
      </c>
    </row>
    <row r="25" spans="1:28" ht="37.5">
      <c r="A25" s="363">
        <v>2</v>
      </c>
      <c r="B25" s="360" t="s">
        <v>309</v>
      </c>
      <c r="C25" s="360">
        <v>16.5</v>
      </c>
      <c r="D25" s="361">
        <f>(E25+F25+G25)</f>
        <v>25058.273766783343</v>
      </c>
      <c r="E25" s="361">
        <f>146769.67*1.043/C25</f>
        <v>9277.622170303031</v>
      </c>
      <c r="F25" s="361"/>
      <c r="G25" s="361">
        <f>E25*K25+E25*0.2+940.9067058+2146.19103-970.28147+485.62548+1179.3415</f>
        <v>15780.65159648031</v>
      </c>
      <c r="H25" s="361"/>
      <c r="I25" s="361">
        <v>1.6</v>
      </c>
      <c r="J25" s="359">
        <f>((D25*I25)+(D25))*C25*12-0.01+0.67</f>
        <v>12899999.995140065</v>
      </c>
      <c r="K25" s="184">
        <v>1.093312891</v>
      </c>
      <c r="L25" s="190">
        <f>J25/C25/12</f>
        <v>65151.51512697002</v>
      </c>
      <c r="M25" s="192"/>
      <c r="X25" s="190"/>
      <c r="Y25" s="190"/>
      <c r="AB25" s="184">
        <f>D25*2.6</f>
        <v>65151.511793636695</v>
      </c>
    </row>
    <row r="26" spans="1:28" ht="56.25">
      <c r="A26" s="363">
        <v>3</v>
      </c>
      <c r="B26" s="360" t="s">
        <v>310</v>
      </c>
      <c r="C26" s="199">
        <v>12.42</v>
      </c>
      <c r="D26" s="361">
        <f>(E26+F26+G26)</f>
        <v>11606.228449925959</v>
      </c>
      <c r="E26" s="361">
        <f>67603.22*1.043/C26</f>
        <v>5677.146413848631</v>
      </c>
      <c r="F26" s="361"/>
      <c r="G26" s="361">
        <f>E26*K26-140.144654-121.3993214-105.1613088+1032.247409+1800</f>
        <v>5929.082036077329</v>
      </c>
      <c r="H26" s="361"/>
      <c r="I26" s="361">
        <v>1.6</v>
      </c>
      <c r="J26" s="359">
        <f>((D26*I26)+(D26))*C26*12+0.66</f>
        <v>4497460.609260108</v>
      </c>
      <c r="K26" s="184">
        <v>0.610084655</v>
      </c>
      <c r="L26" s="190">
        <f>J26/C26/12</f>
        <v>30176.198398148874</v>
      </c>
      <c r="M26" s="190"/>
      <c r="N26" s="192"/>
      <c r="X26" s="190"/>
      <c r="AB26" s="184">
        <f t="shared" si="0"/>
        <v>30176.193969807493</v>
      </c>
    </row>
    <row r="27" spans="1:31" ht="38.25" thickBot="1">
      <c r="A27" s="200">
        <v>4</v>
      </c>
      <c r="B27" s="201" t="s">
        <v>311</v>
      </c>
      <c r="C27" s="201">
        <v>17.27</v>
      </c>
      <c r="D27" s="202">
        <f>(E27+F27+G27)</f>
        <v>9804.673080469045</v>
      </c>
      <c r="E27" s="202">
        <f>59874.15*1.043/C27</f>
        <v>3616.024229878402</v>
      </c>
      <c r="F27" s="202">
        <f>(3295*1.043/165.5*365*8*35%/12)+(3295*1.043/165.5*12*24/12)</f>
        <v>2266.89695367573</v>
      </c>
      <c r="G27" s="202">
        <f>E27*K27-1319.1793591+1150.6556873+89.08289+912.75</f>
        <v>3921.7518969149132</v>
      </c>
      <c r="H27" s="202"/>
      <c r="I27" s="202">
        <v>1.6</v>
      </c>
      <c r="J27" s="203">
        <f>((D27*I27)+(D27))*C27*12+6.2+0.88</f>
        <v>5283000.247910653</v>
      </c>
      <c r="K27" s="184">
        <v>0.854099</v>
      </c>
      <c r="L27" s="190">
        <f>J27/C27/12</f>
        <v>25492.184172508463</v>
      </c>
      <c r="M27" s="204"/>
      <c r="X27" s="190"/>
      <c r="Y27" s="190"/>
      <c r="AB27" s="184">
        <f t="shared" si="0"/>
        <v>25492.150009219517</v>
      </c>
      <c r="AD27" s="190">
        <f>X27-J28</f>
        <v>-25020460.855734482</v>
      </c>
      <c r="AE27" s="205">
        <f>AD27-259000-100000</f>
        <v>-25379460.855734482</v>
      </c>
    </row>
    <row r="28" spans="1:28" ht="39.75" customHeight="1" thickBot="1">
      <c r="A28" s="468" t="s">
        <v>139</v>
      </c>
      <c r="B28" s="469"/>
      <c r="C28" s="207">
        <f>SUM(C24:C27)</f>
        <v>48.19</v>
      </c>
      <c r="D28" s="207">
        <f>SUM(D24:D27)</f>
        <v>83969.18480717285</v>
      </c>
      <c r="E28" s="207">
        <f>SUM(E24:E27)</f>
        <v>40708.46781403006</v>
      </c>
      <c r="F28" s="207">
        <f>SUM(F24:F27)</f>
        <v>2266.89695367573</v>
      </c>
      <c r="G28" s="207">
        <f>SUM(G24:G27)</f>
        <v>40993.82003946706</v>
      </c>
      <c r="H28" s="207" t="s">
        <v>140</v>
      </c>
      <c r="I28" s="207" t="s">
        <v>140</v>
      </c>
      <c r="J28" s="208">
        <f>SUM(J24:J27)</f>
        <v>25020460.855734482</v>
      </c>
      <c r="L28" s="190"/>
      <c r="M28" s="190">
        <v>25020460.86</v>
      </c>
      <c r="X28" s="190"/>
      <c r="AB28" s="184">
        <f t="shared" si="0"/>
        <v>218319.8804986494</v>
      </c>
    </row>
    <row r="29" spans="11:28" ht="15">
      <c r="K29" s="190"/>
      <c r="L29" s="190"/>
      <c r="M29" s="190">
        <f>M28-J28</f>
        <v>0.004265516996383667</v>
      </c>
      <c r="X29" s="192"/>
      <c r="Y29" s="190"/>
      <c r="AB29" s="184">
        <f t="shared" si="0"/>
        <v>0</v>
      </c>
    </row>
    <row r="30" spans="10:25" ht="15">
      <c r="J30" s="209"/>
      <c r="L30" s="190"/>
      <c r="M30" s="190"/>
      <c r="X30" s="190"/>
      <c r="Y30" s="190"/>
    </row>
    <row r="31" spans="1:24" ht="38.25" customHeight="1">
      <c r="A31" s="470" t="s">
        <v>183</v>
      </c>
      <c r="B31" s="470"/>
      <c r="C31" s="470"/>
      <c r="D31" s="470"/>
      <c r="E31" s="470"/>
      <c r="F31" s="470"/>
      <c r="J31" s="209"/>
      <c r="L31" s="190"/>
      <c r="M31" s="190"/>
      <c r="X31" s="190"/>
    </row>
    <row r="32" spans="12:24" ht="15.75" thickBot="1">
      <c r="L32" s="190"/>
      <c r="M32" s="190"/>
      <c r="X32" s="190"/>
    </row>
    <row r="33" spans="1:26" ht="123" customHeight="1" thickBot="1">
      <c r="A33" s="233" t="s">
        <v>0</v>
      </c>
      <c r="B33" s="234" t="s">
        <v>141</v>
      </c>
      <c r="C33" s="234" t="s">
        <v>142</v>
      </c>
      <c r="D33" s="234" t="s">
        <v>143</v>
      </c>
      <c r="E33" s="234" t="s">
        <v>144</v>
      </c>
      <c r="F33" s="235" t="s">
        <v>145</v>
      </c>
      <c r="L33" s="190"/>
      <c r="M33" s="192"/>
      <c r="O33" s="190"/>
      <c r="P33" s="191"/>
      <c r="X33" s="190"/>
      <c r="Z33" s="210"/>
    </row>
    <row r="34" spans="1:13" ht="18.75">
      <c r="A34" s="193">
        <v>1</v>
      </c>
      <c r="B34" s="194">
        <v>2</v>
      </c>
      <c r="C34" s="194">
        <v>3</v>
      </c>
      <c r="D34" s="194">
        <v>4</v>
      </c>
      <c r="E34" s="194">
        <v>5</v>
      </c>
      <c r="F34" s="195">
        <v>6</v>
      </c>
      <c r="M34" s="190"/>
    </row>
    <row r="35" spans="1:25" ht="19.5" thickBot="1">
      <c r="A35" s="200">
        <v>1</v>
      </c>
      <c r="B35" s="201"/>
      <c r="C35" s="211">
        <v>0</v>
      </c>
      <c r="D35" s="211">
        <v>0</v>
      </c>
      <c r="E35" s="211">
        <v>0</v>
      </c>
      <c r="F35" s="212">
        <f>C35*D35*E35</f>
        <v>0</v>
      </c>
      <c r="Y35" s="190"/>
    </row>
    <row r="36" spans="1:25" s="238" customFormat="1" ht="19.5" thickBot="1">
      <c r="A36" s="458" t="s">
        <v>139</v>
      </c>
      <c r="B36" s="459"/>
      <c r="C36" s="239" t="s">
        <v>140</v>
      </c>
      <c r="D36" s="239" t="s">
        <v>140</v>
      </c>
      <c r="E36" s="239" t="s">
        <v>140</v>
      </c>
      <c r="F36" s="240">
        <f>F35</f>
        <v>0</v>
      </c>
      <c r="Y36" s="231"/>
    </row>
    <row r="38" spans="1:6" ht="18.75">
      <c r="A38" s="470" t="s">
        <v>184</v>
      </c>
      <c r="B38" s="470"/>
      <c r="C38" s="470"/>
      <c r="D38" s="470"/>
      <c r="E38" s="470"/>
      <c r="F38" s="470"/>
    </row>
    <row r="39" ht="15.75" thickBot="1"/>
    <row r="40" spans="1:6" ht="124.5" customHeight="1" thickBot="1">
      <c r="A40" s="233" t="s">
        <v>0</v>
      </c>
      <c r="B40" s="234" t="s">
        <v>141</v>
      </c>
      <c r="C40" s="234" t="s">
        <v>146</v>
      </c>
      <c r="D40" s="234" t="s">
        <v>147</v>
      </c>
      <c r="E40" s="234" t="s">
        <v>148</v>
      </c>
      <c r="F40" s="235" t="s">
        <v>145</v>
      </c>
    </row>
    <row r="41" spans="1:6" ht="18.75">
      <c r="A41" s="193">
        <v>1</v>
      </c>
      <c r="B41" s="194">
        <v>2</v>
      </c>
      <c r="C41" s="194">
        <v>3</v>
      </c>
      <c r="D41" s="194">
        <v>4</v>
      </c>
      <c r="E41" s="194">
        <v>5</v>
      </c>
      <c r="F41" s="195">
        <v>6</v>
      </c>
    </row>
    <row r="42" spans="1:6" ht="51.75" customHeight="1" thickBot="1">
      <c r="A42" s="200">
        <v>1</v>
      </c>
      <c r="B42" s="201" t="s">
        <v>312</v>
      </c>
      <c r="C42" s="201">
        <v>3</v>
      </c>
      <c r="D42" s="201">
        <v>12</v>
      </c>
      <c r="E42" s="211">
        <v>90</v>
      </c>
      <c r="F42" s="203">
        <f>C42*D42*E42</f>
        <v>3240</v>
      </c>
    </row>
    <row r="43" spans="1:6" s="238" customFormat="1" ht="19.5" thickBot="1">
      <c r="A43" s="458" t="s">
        <v>139</v>
      </c>
      <c r="B43" s="459"/>
      <c r="C43" s="239" t="s">
        <v>140</v>
      </c>
      <c r="D43" s="239" t="s">
        <v>140</v>
      </c>
      <c r="E43" s="239" t="s">
        <v>140</v>
      </c>
      <c r="F43" s="241">
        <f>F42</f>
        <v>3240</v>
      </c>
    </row>
    <row r="45" spans="1:5" ht="80.25" customHeight="1">
      <c r="A45" s="470" t="s">
        <v>185</v>
      </c>
      <c r="B45" s="470"/>
      <c r="C45" s="470"/>
      <c r="D45" s="470"/>
      <c r="E45" s="470"/>
    </row>
    <row r="46" ht="15.75" thickBot="1"/>
    <row r="47" spans="1:4" ht="144.75" customHeight="1" thickBot="1">
      <c r="A47" s="233" t="s">
        <v>0</v>
      </c>
      <c r="B47" s="234" t="s">
        <v>149</v>
      </c>
      <c r="C47" s="234" t="s">
        <v>150</v>
      </c>
      <c r="D47" s="235" t="s">
        <v>151</v>
      </c>
    </row>
    <row r="48" spans="1:4" ht="18.75">
      <c r="A48" s="193">
        <v>1</v>
      </c>
      <c r="B48" s="194">
        <v>2</v>
      </c>
      <c r="C48" s="194">
        <v>3</v>
      </c>
      <c r="D48" s="195">
        <v>4</v>
      </c>
    </row>
    <row r="49" spans="1:4" ht="113.25" customHeight="1">
      <c r="A49" s="196">
        <v>1</v>
      </c>
      <c r="B49" s="214" t="s">
        <v>152</v>
      </c>
      <c r="C49" s="197" t="s">
        <v>140</v>
      </c>
      <c r="D49" s="198">
        <f>D50+D52</f>
        <v>5512067.869829773</v>
      </c>
    </row>
    <row r="50" spans="1:4" ht="18.75">
      <c r="A50" s="471" t="s">
        <v>153</v>
      </c>
      <c r="B50" s="215" t="s">
        <v>22</v>
      </c>
      <c r="C50" s="435" t="s">
        <v>422</v>
      </c>
      <c r="D50" s="437">
        <f>7563745.66-D53-D54</f>
        <v>5512067.869829773</v>
      </c>
    </row>
    <row r="51" spans="1:4" ht="18.75">
      <c r="A51" s="471"/>
      <c r="B51" s="215" t="s">
        <v>154</v>
      </c>
      <c r="C51" s="435"/>
      <c r="D51" s="437"/>
    </row>
    <row r="52" spans="1:4" ht="18.75">
      <c r="A52" s="196" t="s">
        <v>155</v>
      </c>
      <c r="B52" s="214" t="s">
        <v>156</v>
      </c>
      <c r="C52" s="197" t="s">
        <v>422</v>
      </c>
      <c r="D52" s="198"/>
    </row>
    <row r="53" spans="1:4" ht="87.75" customHeight="1">
      <c r="A53" s="196">
        <v>2</v>
      </c>
      <c r="B53" s="214" t="s">
        <v>157</v>
      </c>
      <c r="C53" s="197" t="s">
        <v>140</v>
      </c>
      <c r="D53" s="198">
        <f>C54*3.1%</f>
        <v>775634.2865277689</v>
      </c>
    </row>
    <row r="54" spans="1:4" ht="127.5" customHeight="1" thickBot="1">
      <c r="A54" s="200">
        <v>3</v>
      </c>
      <c r="B54" s="216" t="s">
        <v>158</v>
      </c>
      <c r="C54" s="202">
        <f>J28</f>
        <v>25020460.855734482</v>
      </c>
      <c r="D54" s="203">
        <f>C54*5.1%</f>
        <v>1276043.5036424585</v>
      </c>
    </row>
    <row r="55" spans="1:13" s="242" customFormat="1" ht="19.5" thickBot="1">
      <c r="A55" s="460" t="s">
        <v>139</v>
      </c>
      <c r="B55" s="461"/>
      <c r="C55" s="223" t="s">
        <v>140</v>
      </c>
      <c r="D55" s="208">
        <f>D50+D53+D54</f>
        <v>7563745.66</v>
      </c>
      <c r="M55" s="258">
        <v>7563745.66</v>
      </c>
    </row>
    <row r="56" spans="13:14" ht="15">
      <c r="M56" s="190">
        <f>M55-D55</f>
        <v>0</v>
      </c>
      <c r="N56" s="190">
        <f>M56+M29</f>
        <v>0.004265516996383667</v>
      </c>
    </row>
    <row r="57" spans="1:6" ht="36" customHeight="1">
      <c r="A57" s="470" t="s">
        <v>186</v>
      </c>
      <c r="B57" s="470"/>
      <c r="C57" s="470"/>
      <c r="D57" s="470"/>
      <c r="E57" s="470"/>
      <c r="F57" s="470"/>
    </row>
    <row r="59" spans="1:6" ht="18.75">
      <c r="A59" s="472" t="s">
        <v>402</v>
      </c>
      <c r="B59" s="472"/>
      <c r="C59" s="472"/>
      <c r="D59" s="472"/>
      <c r="E59" s="472"/>
      <c r="F59" s="472"/>
    </row>
    <row r="60" spans="1:6" ht="18.75">
      <c r="A60" s="472" t="s">
        <v>403</v>
      </c>
      <c r="B60" s="472"/>
      <c r="C60" s="472"/>
      <c r="D60" s="472"/>
      <c r="E60" s="472"/>
      <c r="F60" s="472"/>
    </row>
    <row r="61" ht="19.5" thickBot="1">
      <c r="A61" s="217"/>
    </row>
    <row r="62" spans="1:5" ht="108" customHeight="1" thickBot="1">
      <c r="A62" s="233" t="s">
        <v>0</v>
      </c>
      <c r="B62" s="234" t="s">
        <v>1</v>
      </c>
      <c r="C62" s="234" t="s">
        <v>159</v>
      </c>
      <c r="D62" s="234" t="s">
        <v>160</v>
      </c>
      <c r="E62" s="235" t="s">
        <v>161</v>
      </c>
    </row>
    <row r="63" spans="1:5" ht="18.75">
      <c r="A63" s="193">
        <v>1</v>
      </c>
      <c r="B63" s="194">
        <v>2</v>
      </c>
      <c r="C63" s="194">
        <v>3</v>
      </c>
      <c r="D63" s="194">
        <v>4</v>
      </c>
      <c r="E63" s="195">
        <v>5</v>
      </c>
    </row>
    <row r="64" spans="1:5" ht="94.5" thickBot="1">
      <c r="A64" s="200"/>
      <c r="B64" s="201" t="s">
        <v>404</v>
      </c>
      <c r="C64" s="201"/>
      <c r="D64" s="201"/>
      <c r="E64" s="203"/>
    </row>
    <row r="65" spans="1:5" s="238" customFormat="1" ht="19.5" thickBot="1">
      <c r="A65" s="458" t="s">
        <v>139</v>
      </c>
      <c r="B65" s="459"/>
      <c r="C65" s="239" t="s">
        <v>140</v>
      </c>
      <c r="D65" s="239" t="s">
        <v>140</v>
      </c>
      <c r="E65" s="243">
        <f>E64</f>
        <v>0</v>
      </c>
    </row>
    <row r="68" spans="1:7" ht="18.75">
      <c r="A68" s="465" t="s">
        <v>189</v>
      </c>
      <c r="B68" s="465"/>
      <c r="C68" s="465"/>
      <c r="D68" s="465"/>
      <c r="E68" s="465"/>
      <c r="F68" s="465"/>
      <c r="G68" s="465"/>
    </row>
    <row r="69" ht="18.75">
      <c r="A69" s="218"/>
    </row>
    <row r="70" ht="18.75">
      <c r="A70" s="217"/>
    </row>
    <row r="71" spans="1:7" ht="18.75">
      <c r="A71" s="472" t="s">
        <v>313</v>
      </c>
      <c r="B71" s="472"/>
      <c r="C71" s="472"/>
      <c r="D71" s="472"/>
      <c r="E71" s="472"/>
      <c r="F71" s="472"/>
      <c r="G71" s="472"/>
    </row>
    <row r="72" spans="1:7" ht="18.75">
      <c r="A72" s="472" t="s">
        <v>314</v>
      </c>
      <c r="B72" s="472"/>
      <c r="C72" s="472"/>
      <c r="D72" s="472"/>
      <c r="E72" s="472"/>
      <c r="F72" s="472"/>
      <c r="G72" s="472"/>
    </row>
    <row r="73" ht="19.5" thickBot="1">
      <c r="A73" s="217"/>
    </row>
    <row r="74" spans="1:5" ht="141.75" customHeight="1" thickBot="1">
      <c r="A74" s="233" t="s">
        <v>0</v>
      </c>
      <c r="B74" s="234" t="s">
        <v>141</v>
      </c>
      <c r="C74" s="234" t="s">
        <v>162</v>
      </c>
      <c r="D74" s="234" t="s">
        <v>163</v>
      </c>
      <c r="E74" s="235" t="s">
        <v>164</v>
      </c>
    </row>
    <row r="75" spans="1:5" ht="18.75">
      <c r="A75" s="193">
        <v>1</v>
      </c>
      <c r="B75" s="194">
        <v>2</v>
      </c>
      <c r="C75" s="194">
        <v>3</v>
      </c>
      <c r="D75" s="194">
        <v>4</v>
      </c>
      <c r="E75" s="195">
        <v>5</v>
      </c>
    </row>
    <row r="76" spans="1:24" ht="18.75">
      <c r="A76" s="196">
        <v>1</v>
      </c>
      <c r="B76" s="197" t="s">
        <v>315</v>
      </c>
      <c r="C76" s="247">
        <v>20343545.45</v>
      </c>
      <c r="D76" s="247">
        <v>2.2</v>
      </c>
      <c r="E76" s="248">
        <f>(C76*D76)/100</f>
        <v>447557.9999</v>
      </c>
      <c r="H76" s="219"/>
      <c r="L76" s="190"/>
      <c r="X76" s="184">
        <f>105614.75/0.022</f>
        <v>4800670.454545455</v>
      </c>
    </row>
    <row r="77" spans="1:5" ht="27" customHeight="1" thickBot="1">
      <c r="A77" s="200">
        <v>2</v>
      </c>
      <c r="B77" s="201" t="s">
        <v>316</v>
      </c>
      <c r="C77" s="249">
        <v>15361200</v>
      </c>
      <c r="D77" s="249">
        <v>1.5</v>
      </c>
      <c r="E77" s="250">
        <f>(C77*D77)/100</f>
        <v>230418</v>
      </c>
    </row>
    <row r="78" spans="1:12" s="238" customFormat="1" ht="19.5" thickBot="1">
      <c r="A78" s="458" t="s">
        <v>139</v>
      </c>
      <c r="B78" s="459"/>
      <c r="C78" s="244" t="s">
        <v>422</v>
      </c>
      <c r="D78" s="244" t="s">
        <v>140</v>
      </c>
      <c r="E78" s="251">
        <f>E77+E76</f>
        <v>677975.9998999999</v>
      </c>
      <c r="L78" s="231"/>
    </row>
    <row r="80" spans="1:5" ht="18.75">
      <c r="A80" s="465" t="s">
        <v>317</v>
      </c>
      <c r="B80" s="465"/>
      <c r="C80" s="465"/>
      <c r="D80" s="465"/>
      <c r="E80" s="465"/>
    </row>
    <row r="81" ht="18.75">
      <c r="A81" s="218"/>
    </row>
    <row r="82" ht="18.75">
      <c r="A82" s="189" t="s">
        <v>417</v>
      </c>
    </row>
    <row r="83" spans="1:7" ht="18.75">
      <c r="A83" s="222" t="s">
        <v>314</v>
      </c>
      <c r="B83" s="222"/>
      <c r="C83" s="222"/>
      <c r="D83" s="222"/>
      <c r="E83" s="222"/>
      <c r="F83" s="222"/>
      <c r="G83" s="222"/>
    </row>
    <row r="84" ht="18.75">
      <c r="A84" s="189"/>
    </row>
    <row r="85" spans="1:6" ht="18.75">
      <c r="A85" s="465" t="s">
        <v>319</v>
      </c>
      <c r="B85" s="465"/>
      <c r="C85" s="465"/>
      <c r="D85" s="465"/>
      <c r="E85" s="465"/>
      <c r="F85" s="465"/>
    </row>
    <row r="86" ht="15.75" thickBot="1"/>
    <row r="87" spans="1:6" ht="38.25" thickBot="1">
      <c r="A87" s="233" t="s">
        <v>0</v>
      </c>
      <c r="B87" s="234" t="s">
        <v>141</v>
      </c>
      <c r="C87" s="234" t="s">
        <v>165</v>
      </c>
      <c r="D87" s="234" t="s">
        <v>166</v>
      </c>
      <c r="E87" s="234" t="s">
        <v>167</v>
      </c>
      <c r="F87" s="235" t="s">
        <v>145</v>
      </c>
    </row>
    <row r="88" spans="1:6" ht="18.75">
      <c r="A88" s="193">
        <v>1</v>
      </c>
      <c r="B88" s="194">
        <v>2</v>
      </c>
      <c r="C88" s="194">
        <v>3</v>
      </c>
      <c r="D88" s="194">
        <v>4</v>
      </c>
      <c r="E88" s="194">
        <v>5</v>
      </c>
      <c r="F88" s="195">
        <v>6</v>
      </c>
    </row>
    <row r="89" spans="1:6" s="238" customFormat="1" ht="38.25" thickBot="1">
      <c r="A89" s="200">
        <v>1</v>
      </c>
      <c r="B89" s="201" t="s">
        <v>320</v>
      </c>
      <c r="C89" s="201">
        <v>2</v>
      </c>
      <c r="D89" s="201">
        <v>12</v>
      </c>
      <c r="E89" s="245">
        <v>1000</v>
      </c>
      <c r="F89" s="246">
        <f>C89*D89*E89</f>
        <v>24000</v>
      </c>
    </row>
    <row r="90" spans="1:6" s="237" customFormat="1" ht="19.5" thickBot="1">
      <c r="A90" s="458" t="s">
        <v>139</v>
      </c>
      <c r="B90" s="459"/>
      <c r="C90" s="239" t="s">
        <v>140</v>
      </c>
      <c r="D90" s="239" t="s">
        <v>140</v>
      </c>
      <c r="E90" s="239" t="s">
        <v>140</v>
      </c>
      <c r="F90" s="251">
        <f>F89</f>
        <v>24000</v>
      </c>
    </row>
    <row r="92" spans="1:6" ht="30" customHeight="1">
      <c r="A92" s="465" t="s">
        <v>321</v>
      </c>
      <c r="B92" s="465"/>
      <c r="C92" s="465"/>
      <c r="D92" s="465"/>
      <c r="E92" s="465"/>
      <c r="F92" s="465"/>
    </row>
    <row r="93" ht="15.75" thickBot="1"/>
    <row r="94" spans="1:5" ht="38.25" thickBot="1">
      <c r="A94" s="233" t="s">
        <v>0</v>
      </c>
      <c r="B94" s="234" t="s">
        <v>141</v>
      </c>
      <c r="C94" s="234" t="s">
        <v>168</v>
      </c>
      <c r="D94" s="234" t="s">
        <v>169</v>
      </c>
      <c r="E94" s="235" t="s">
        <v>170</v>
      </c>
    </row>
    <row r="95" spans="1:5" ht="18.75">
      <c r="A95" s="193">
        <v>1</v>
      </c>
      <c r="B95" s="194">
        <v>2</v>
      </c>
      <c r="C95" s="194">
        <v>3</v>
      </c>
      <c r="D95" s="194">
        <v>4</v>
      </c>
      <c r="E95" s="195">
        <v>5</v>
      </c>
    </row>
    <row r="96" spans="1:5" ht="19.5" thickBot="1">
      <c r="A96" s="200"/>
      <c r="B96" s="201"/>
      <c r="C96" s="211">
        <v>0</v>
      </c>
      <c r="D96" s="211">
        <v>0</v>
      </c>
      <c r="E96" s="212">
        <f>C96*D96</f>
        <v>0</v>
      </c>
    </row>
    <row r="97" spans="1:5" ht="19.5" thickBot="1">
      <c r="A97" s="460" t="s">
        <v>139</v>
      </c>
      <c r="B97" s="461"/>
      <c r="C97" s="223">
        <f>C96</f>
        <v>0</v>
      </c>
      <c r="D97" s="223">
        <f>D96</f>
        <v>0</v>
      </c>
      <c r="E97" s="213">
        <f>E96</f>
        <v>0</v>
      </c>
    </row>
    <row r="99" spans="1:6" ht="18.75">
      <c r="A99" s="465" t="s">
        <v>322</v>
      </c>
      <c r="B99" s="465"/>
      <c r="C99" s="465"/>
      <c r="D99" s="465"/>
      <c r="E99" s="465"/>
      <c r="F99" s="465"/>
    </row>
    <row r="100" ht="15.75" thickBot="1"/>
    <row r="101" spans="1:9" ht="57" thickBot="1">
      <c r="A101" s="233" t="s">
        <v>0</v>
      </c>
      <c r="B101" s="234" t="s">
        <v>1</v>
      </c>
      <c r="C101" s="234" t="s">
        <v>323</v>
      </c>
      <c r="D101" s="234" t="s">
        <v>324</v>
      </c>
      <c r="E101" s="234" t="s">
        <v>171</v>
      </c>
      <c r="F101" s="234" t="s">
        <v>172</v>
      </c>
      <c r="G101" s="235" t="s">
        <v>173</v>
      </c>
      <c r="I101" s="341"/>
    </row>
    <row r="102" spans="1:15" ht="18.75">
      <c r="A102" s="193">
        <v>1</v>
      </c>
      <c r="B102" s="194">
        <v>2</v>
      </c>
      <c r="C102" s="194">
        <v>3</v>
      </c>
      <c r="D102" s="194">
        <v>4</v>
      </c>
      <c r="E102" s="194">
        <v>5</v>
      </c>
      <c r="F102" s="194">
        <v>6</v>
      </c>
      <c r="G102" s="195">
        <v>7</v>
      </c>
      <c r="I102" s="341"/>
      <c r="M102" s="341"/>
      <c r="N102" s="341"/>
      <c r="O102" s="341"/>
    </row>
    <row r="103" spans="1:15" ht="47.25" customHeight="1">
      <c r="A103" s="196">
        <v>1</v>
      </c>
      <c r="B103" s="197" t="s">
        <v>325</v>
      </c>
      <c r="C103" s="199" t="s">
        <v>326</v>
      </c>
      <c r="D103" s="106">
        <v>171.86</v>
      </c>
      <c r="E103" s="106">
        <v>7005.372861631559</v>
      </c>
      <c r="F103" s="197"/>
      <c r="G103" s="255">
        <f aca="true" t="shared" si="1" ref="G103:G108">D103*E103</f>
        <v>1203943.38</v>
      </c>
      <c r="I103" s="342"/>
      <c r="J103" s="190"/>
      <c r="K103" s="224">
        <f>1203943.38/D103</f>
        <v>7005.372861631559</v>
      </c>
      <c r="M103" s="342"/>
      <c r="N103" s="373"/>
      <c r="O103" s="341"/>
    </row>
    <row r="104" spans="1:15" ht="47.25" customHeight="1">
      <c r="A104" s="196">
        <v>2</v>
      </c>
      <c r="B104" s="197" t="s">
        <v>327</v>
      </c>
      <c r="C104" s="199" t="s">
        <v>326</v>
      </c>
      <c r="D104" s="106">
        <v>102.92</v>
      </c>
      <c r="E104" s="106">
        <v>9901.763894286825</v>
      </c>
      <c r="F104" s="197"/>
      <c r="G104" s="255">
        <f t="shared" si="1"/>
        <v>1019089.54</v>
      </c>
      <c r="I104" s="342"/>
      <c r="J104" s="190"/>
      <c r="K104" s="225">
        <f>1019089.54/D104</f>
        <v>9901.763894286825</v>
      </c>
      <c r="M104" s="342"/>
      <c r="N104" s="373"/>
      <c r="O104" s="341"/>
    </row>
    <row r="105" spans="1:15" ht="47.25" customHeight="1">
      <c r="A105" s="196">
        <v>3</v>
      </c>
      <c r="B105" s="197" t="s">
        <v>328</v>
      </c>
      <c r="C105" s="199" t="s">
        <v>382</v>
      </c>
      <c r="D105" s="106">
        <v>47073</v>
      </c>
      <c r="E105" s="106">
        <v>6.151534000382385</v>
      </c>
      <c r="F105" s="197"/>
      <c r="G105" s="255">
        <f t="shared" si="1"/>
        <v>289571.16</v>
      </c>
      <c r="I105" s="342"/>
      <c r="J105" s="190"/>
      <c r="K105" s="224">
        <f>289571.16/D105</f>
        <v>6.151534000382385</v>
      </c>
      <c r="M105" s="342"/>
      <c r="N105" s="373"/>
      <c r="O105" s="341"/>
    </row>
    <row r="106" spans="1:15" ht="47.25" customHeight="1">
      <c r="A106" s="196">
        <v>4</v>
      </c>
      <c r="B106" s="197" t="s">
        <v>330</v>
      </c>
      <c r="C106" s="199" t="s">
        <v>331</v>
      </c>
      <c r="D106" s="106">
        <v>1184</v>
      </c>
      <c r="E106" s="106">
        <v>58.156393581081076</v>
      </c>
      <c r="F106" s="197"/>
      <c r="G106" s="255">
        <f t="shared" si="1"/>
        <v>68857.17</v>
      </c>
      <c r="I106" s="342"/>
      <c r="J106" s="190"/>
      <c r="K106" s="225">
        <f>68857.17/D106</f>
        <v>58.156393581081076</v>
      </c>
      <c r="M106" s="342"/>
      <c r="N106" s="373"/>
      <c r="O106" s="341"/>
    </row>
    <row r="107" spans="1:15" ht="47.25" customHeight="1">
      <c r="A107" s="196">
        <v>5</v>
      </c>
      <c r="B107" s="197" t="s">
        <v>332</v>
      </c>
      <c r="C107" s="199" t="s">
        <v>331</v>
      </c>
      <c r="D107" s="106">
        <v>1737.95</v>
      </c>
      <c r="E107" s="106">
        <v>47.650306395465925</v>
      </c>
      <c r="F107" s="197"/>
      <c r="G107" s="255">
        <f t="shared" si="1"/>
        <v>82813.85</v>
      </c>
      <c r="I107" s="342"/>
      <c r="J107" s="190"/>
      <c r="K107" s="225">
        <f>82813.85/D107</f>
        <v>47.650306395465925</v>
      </c>
      <c r="M107" s="342"/>
      <c r="N107" s="373"/>
      <c r="O107" s="341"/>
    </row>
    <row r="108" spans="1:15" ht="47.25" customHeight="1" thickBot="1">
      <c r="A108" s="200">
        <v>6</v>
      </c>
      <c r="B108" s="201" t="s">
        <v>333</v>
      </c>
      <c r="C108" s="211" t="s">
        <v>331</v>
      </c>
      <c r="D108" s="202">
        <v>553.947</v>
      </c>
      <c r="E108" s="202">
        <v>74.77421125125689</v>
      </c>
      <c r="F108" s="201"/>
      <c r="G108" s="256">
        <f t="shared" si="1"/>
        <v>41420.95</v>
      </c>
      <c r="I108" s="342"/>
      <c r="J108" s="190"/>
      <c r="K108" s="225">
        <f>41420.95/D108</f>
        <v>74.77421125125689</v>
      </c>
      <c r="M108" s="342"/>
      <c r="N108" s="373"/>
      <c r="O108" s="341"/>
    </row>
    <row r="109" spans="1:15" s="237" customFormat="1" ht="19.5" thickBot="1">
      <c r="A109" s="458" t="s">
        <v>139</v>
      </c>
      <c r="B109" s="459"/>
      <c r="C109" s="239" t="s">
        <v>140</v>
      </c>
      <c r="D109" s="239" t="s">
        <v>140</v>
      </c>
      <c r="E109" s="239" t="s">
        <v>140</v>
      </c>
      <c r="F109" s="239" t="s">
        <v>140</v>
      </c>
      <c r="G109" s="257">
        <f>G108+G107+G106+G105+G104+G103</f>
        <v>2705696.05</v>
      </c>
      <c r="I109" s="343"/>
      <c r="K109" s="369">
        <v>2705696.05</v>
      </c>
      <c r="M109" s="342"/>
      <c r="N109" s="343"/>
      <c r="O109" s="343"/>
    </row>
    <row r="110" spans="11:15" ht="15">
      <c r="K110" s="190">
        <f>K109-G109</f>
        <v>0</v>
      </c>
      <c r="M110" s="373"/>
      <c r="N110" s="341"/>
      <c r="O110" s="341"/>
    </row>
    <row r="111" spans="1:15" ht="18.75">
      <c r="A111" s="465" t="s">
        <v>334</v>
      </c>
      <c r="B111" s="465"/>
      <c r="C111" s="465"/>
      <c r="D111" s="465"/>
      <c r="E111" s="465"/>
      <c r="F111" s="189"/>
      <c r="M111" s="341"/>
      <c r="N111" s="341"/>
      <c r="O111" s="341"/>
    </row>
    <row r="112" ht="15.75" thickBot="1"/>
    <row r="113" spans="1:5" ht="57" thickBot="1">
      <c r="A113" s="233" t="s">
        <v>0</v>
      </c>
      <c r="B113" s="234" t="s">
        <v>1</v>
      </c>
      <c r="C113" s="234" t="s">
        <v>174</v>
      </c>
      <c r="D113" s="234" t="s">
        <v>175</v>
      </c>
      <c r="E113" s="235" t="s">
        <v>176</v>
      </c>
    </row>
    <row r="114" spans="1:5" ht="18.75">
      <c r="A114" s="193">
        <v>1</v>
      </c>
      <c r="B114" s="194">
        <v>2</v>
      </c>
      <c r="C114" s="194">
        <v>3</v>
      </c>
      <c r="D114" s="194">
        <v>4</v>
      </c>
      <c r="E114" s="195">
        <v>5</v>
      </c>
    </row>
    <row r="115" spans="1:5" ht="19.5" thickBot="1">
      <c r="A115" s="200"/>
      <c r="B115" s="201"/>
      <c r="C115" s="201"/>
      <c r="D115" s="201"/>
      <c r="E115" s="226"/>
    </row>
    <row r="116" spans="1:5" s="237" customFormat="1" ht="19.5" thickBot="1">
      <c r="A116" s="463" t="s">
        <v>139</v>
      </c>
      <c r="B116" s="464"/>
      <c r="C116" s="252" t="s">
        <v>140</v>
      </c>
      <c r="D116" s="252" t="s">
        <v>140</v>
      </c>
      <c r="E116" s="253" t="s">
        <v>140</v>
      </c>
    </row>
    <row r="118" spans="1:5" ht="39.75" customHeight="1">
      <c r="A118" s="470" t="s">
        <v>335</v>
      </c>
      <c r="B118" s="470"/>
      <c r="C118" s="470"/>
      <c r="D118" s="470"/>
      <c r="E118" s="470"/>
    </row>
    <row r="119" ht="19.5" thickBot="1">
      <c r="A119" s="217"/>
    </row>
    <row r="120" spans="1:5" ht="57" thickBot="1">
      <c r="A120" s="233" t="s">
        <v>0</v>
      </c>
      <c r="B120" s="234" t="s">
        <v>141</v>
      </c>
      <c r="C120" s="234" t="s">
        <v>177</v>
      </c>
      <c r="D120" s="234" t="s">
        <v>178</v>
      </c>
      <c r="E120" s="235" t="s">
        <v>179</v>
      </c>
    </row>
    <row r="121" spans="1:5" ht="18.75">
      <c r="A121" s="193">
        <v>1</v>
      </c>
      <c r="B121" s="194">
        <v>2</v>
      </c>
      <c r="C121" s="194">
        <v>3</v>
      </c>
      <c r="D121" s="194">
        <v>4</v>
      </c>
      <c r="E121" s="195">
        <v>5</v>
      </c>
    </row>
    <row r="122" spans="1:5" ht="18.75">
      <c r="A122" s="196">
        <v>1</v>
      </c>
      <c r="B122" s="227" t="s">
        <v>336</v>
      </c>
      <c r="C122" s="197"/>
      <c r="D122" s="197">
        <v>12</v>
      </c>
      <c r="E122" s="248">
        <v>67200</v>
      </c>
    </row>
    <row r="123" spans="1:5" ht="18.75">
      <c r="A123" s="196">
        <v>2</v>
      </c>
      <c r="B123" s="227" t="s">
        <v>337</v>
      </c>
      <c r="C123" s="197"/>
      <c r="D123" s="197">
        <v>12</v>
      </c>
      <c r="E123" s="248">
        <v>5400</v>
      </c>
    </row>
    <row r="124" spans="1:5" ht="18.75">
      <c r="A124" s="196">
        <v>3</v>
      </c>
      <c r="B124" s="227" t="s">
        <v>338</v>
      </c>
      <c r="C124" s="197"/>
      <c r="D124" s="197">
        <v>12</v>
      </c>
      <c r="E124" s="248">
        <v>57600</v>
      </c>
    </row>
    <row r="125" spans="1:5" ht="37.5">
      <c r="A125" s="196">
        <v>4</v>
      </c>
      <c r="B125" s="227" t="s">
        <v>339</v>
      </c>
      <c r="C125" s="197"/>
      <c r="D125" s="197">
        <v>12</v>
      </c>
      <c r="E125" s="248">
        <v>77040</v>
      </c>
    </row>
    <row r="126" spans="1:5" ht="39.75" customHeight="1">
      <c r="A126" s="196">
        <v>5</v>
      </c>
      <c r="B126" s="227" t="s">
        <v>395</v>
      </c>
      <c r="C126" s="197"/>
      <c r="D126" s="197">
        <v>12</v>
      </c>
      <c r="E126" s="248">
        <v>14760</v>
      </c>
    </row>
    <row r="127" spans="1:5" ht="56.25">
      <c r="A127" s="196">
        <v>6</v>
      </c>
      <c r="B127" s="227" t="s">
        <v>341</v>
      </c>
      <c r="C127" s="197"/>
      <c r="D127" s="197">
        <v>12</v>
      </c>
      <c r="E127" s="248">
        <v>32160</v>
      </c>
    </row>
    <row r="128" spans="1:5" ht="18.75">
      <c r="A128" s="196">
        <v>7</v>
      </c>
      <c r="B128" s="227" t="s">
        <v>342</v>
      </c>
      <c r="C128" s="197"/>
      <c r="D128" s="197"/>
      <c r="E128" s="248">
        <v>200000</v>
      </c>
    </row>
    <row r="129" spans="1:5" ht="37.5">
      <c r="A129" s="196">
        <v>8</v>
      </c>
      <c r="B129" s="227" t="s">
        <v>343</v>
      </c>
      <c r="C129" s="197"/>
      <c r="D129" s="197">
        <v>4</v>
      </c>
      <c r="E129" s="248">
        <v>10000</v>
      </c>
    </row>
    <row r="130" spans="1:5" ht="56.25">
      <c r="A130" s="196">
        <v>9</v>
      </c>
      <c r="B130" s="227" t="s">
        <v>411</v>
      </c>
      <c r="C130" s="197"/>
      <c r="D130" s="197">
        <v>1</v>
      </c>
      <c r="E130" s="248">
        <v>70000</v>
      </c>
    </row>
    <row r="131" spans="1:5" ht="37.5">
      <c r="A131" s="196">
        <v>10</v>
      </c>
      <c r="B131" s="227" t="s">
        <v>344</v>
      </c>
      <c r="C131" s="197"/>
      <c r="D131" s="197"/>
      <c r="E131" s="248">
        <f>400000+60000+200000</f>
        <v>660000</v>
      </c>
    </row>
    <row r="132" spans="1:5" ht="18.75">
      <c r="A132" s="196">
        <v>11</v>
      </c>
      <c r="B132" s="227" t="s">
        <v>412</v>
      </c>
      <c r="C132" s="197"/>
      <c r="D132" s="197"/>
      <c r="E132" s="248">
        <v>20000</v>
      </c>
    </row>
    <row r="133" spans="1:5" ht="37.5">
      <c r="A133" s="196">
        <v>12</v>
      </c>
      <c r="B133" s="227" t="s">
        <v>345</v>
      </c>
      <c r="C133" s="197"/>
      <c r="D133" s="197">
        <v>4</v>
      </c>
      <c r="E133" s="248">
        <v>60000</v>
      </c>
    </row>
    <row r="134" spans="1:5" ht="51" customHeight="1">
      <c r="A134" s="196">
        <v>13</v>
      </c>
      <c r="B134" s="227" t="s">
        <v>346</v>
      </c>
      <c r="C134" s="197"/>
      <c r="D134" s="197">
        <v>1</v>
      </c>
      <c r="E134" s="248">
        <v>30000</v>
      </c>
    </row>
    <row r="135" spans="1:5" ht="42" customHeight="1">
      <c r="A135" s="196">
        <v>15</v>
      </c>
      <c r="B135" s="227" t="s">
        <v>347</v>
      </c>
      <c r="C135" s="197"/>
      <c r="D135" s="197">
        <v>4</v>
      </c>
      <c r="E135" s="248">
        <v>30000</v>
      </c>
    </row>
    <row r="136" spans="1:5" ht="38.25" thickBot="1">
      <c r="A136" s="200">
        <v>16</v>
      </c>
      <c r="B136" s="228" t="s">
        <v>418</v>
      </c>
      <c r="C136" s="201"/>
      <c r="D136" s="201"/>
      <c r="E136" s="250">
        <f>263370.17-84455.65-79533.5</f>
        <v>99381.01999999999</v>
      </c>
    </row>
    <row r="137" spans="1:6" s="237" customFormat="1" ht="19.5" thickBot="1">
      <c r="A137" s="458" t="s">
        <v>139</v>
      </c>
      <c r="B137" s="459"/>
      <c r="C137" s="239" t="s">
        <v>140</v>
      </c>
      <c r="D137" s="239" t="s">
        <v>140</v>
      </c>
      <c r="E137" s="251">
        <f>SUM(E122:E136)</f>
        <v>1433541.02</v>
      </c>
      <c r="F137" s="254"/>
    </row>
    <row r="139" spans="1:5" ht="37.5" customHeight="1">
      <c r="A139" s="470" t="s">
        <v>348</v>
      </c>
      <c r="B139" s="470"/>
      <c r="C139" s="470"/>
      <c r="D139" s="470"/>
      <c r="E139" s="470"/>
    </row>
    <row r="140" ht="19.5" thickBot="1">
      <c r="A140" s="217"/>
    </row>
    <row r="141" spans="1:4" ht="38.25" thickBot="1">
      <c r="A141" s="233" t="s">
        <v>0</v>
      </c>
      <c r="B141" s="234" t="s">
        <v>141</v>
      </c>
      <c r="C141" s="234" t="s">
        <v>180</v>
      </c>
      <c r="D141" s="235" t="s">
        <v>181</v>
      </c>
    </row>
    <row r="142" spans="1:4" ht="18.75">
      <c r="A142" s="193">
        <v>1</v>
      </c>
      <c r="B142" s="194">
        <v>2</v>
      </c>
      <c r="C142" s="194">
        <v>3</v>
      </c>
      <c r="D142" s="195">
        <v>4</v>
      </c>
    </row>
    <row r="143" spans="1:4" ht="24.75" customHeight="1">
      <c r="A143" s="196">
        <v>1</v>
      </c>
      <c r="B143" s="227" t="s">
        <v>349</v>
      </c>
      <c r="C143" s="197">
        <v>1</v>
      </c>
      <c r="D143" s="248">
        <v>80400</v>
      </c>
    </row>
    <row r="144" spans="1:4" ht="42" customHeight="1">
      <c r="A144" s="196">
        <v>2</v>
      </c>
      <c r="B144" s="227" t="s">
        <v>350</v>
      </c>
      <c r="C144" s="197">
        <v>1</v>
      </c>
      <c r="D144" s="248">
        <v>132000</v>
      </c>
    </row>
    <row r="145" spans="1:4" ht="62.25" customHeight="1">
      <c r="A145" s="196">
        <v>3</v>
      </c>
      <c r="B145" s="227" t="s">
        <v>351</v>
      </c>
      <c r="C145" s="197"/>
      <c r="D145" s="248">
        <v>40000</v>
      </c>
    </row>
    <row r="146" spans="1:4" ht="24.75" customHeight="1">
      <c r="A146" s="196">
        <v>4</v>
      </c>
      <c r="B146" s="227" t="s">
        <v>352</v>
      </c>
      <c r="C146" s="197">
        <v>1</v>
      </c>
      <c r="D146" s="248">
        <v>285000</v>
      </c>
    </row>
    <row r="147" spans="1:4" ht="24.75" customHeight="1">
      <c r="A147" s="196">
        <v>5</v>
      </c>
      <c r="B147" s="227" t="s">
        <v>353</v>
      </c>
      <c r="C147" s="197"/>
      <c r="D147" s="248">
        <v>60000</v>
      </c>
    </row>
    <row r="148" spans="1:4" ht="18.75">
      <c r="A148" s="196">
        <v>6</v>
      </c>
      <c r="B148" s="227" t="s">
        <v>354</v>
      </c>
      <c r="C148" s="197"/>
      <c r="D148" s="248">
        <v>50000</v>
      </c>
    </row>
    <row r="149" spans="1:4" ht="18.75">
      <c r="A149" s="196">
        <v>7</v>
      </c>
      <c r="B149" s="227" t="s">
        <v>419</v>
      </c>
      <c r="C149" s="197"/>
      <c r="D149" s="248">
        <f>345749.83+300258.63-1080</f>
        <v>644928.46</v>
      </c>
    </row>
    <row r="150" spans="1:4" ht="18.75">
      <c r="A150" s="196">
        <v>8</v>
      </c>
      <c r="B150" s="227" t="s">
        <v>361</v>
      </c>
      <c r="C150" s="197">
        <v>1</v>
      </c>
      <c r="D150" s="248">
        <v>52200</v>
      </c>
    </row>
    <row r="151" spans="1:4" ht="19.5" thickBot="1">
      <c r="A151" s="200">
        <v>9</v>
      </c>
      <c r="B151" s="228" t="s">
        <v>362</v>
      </c>
      <c r="C151" s="201"/>
      <c r="D151" s="250">
        <v>60000</v>
      </c>
    </row>
    <row r="152" spans="1:4" s="237" customFormat="1" ht="19.5" thickBot="1">
      <c r="A152" s="458" t="s">
        <v>139</v>
      </c>
      <c r="B152" s="459"/>
      <c r="C152" s="239" t="s">
        <v>140</v>
      </c>
      <c r="D152" s="251">
        <f>D149+D148+D147+D146+D145+D144+D143+D150+D151</f>
        <v>1404528.46</v>
      </c>
    </row>
    <row r="154" spans="1:6" ht="51" customHeight="1">
      <c r="A154" s="470" t="s">
        <v>355</v>
      </c>
      <c r="B154" s="470"/>
      <c r="C154" s="470"/>
      <c r="D154" s="470"/>
      <c r="E154" s="470"/>
      <c r="F154" s="470"/>
    </row>
    <row r="155" ht="15.75" thickBot="1"/>
    <row r="156" spans="1:5" ht="38.25" thickBot="1">
      <c r="A156" s="181" t="s">
        <v>0</v>
      </c>
      <c r="B156" s="182" t="s">
        <v>141</v>
      </c>
      <c r="C156" s="182" t="s">
        <v>174</v>
      </c>
      <c r="D156" s="182" t="s">
        <v>182</v>
      </c>
      <c r="E156" s="183" t="s">
        <v>421</v>
      </c>
    </row>
    <row r="157" spans="1:5" ht="18.75">
      <c r="A157" s="193"/>
      <c r="B157" s="194">
        <v>1</v>
      </c>
      <c r="C157" s="194">
        <v>2</v>
      </c>
      <c r="D157" s="194">
        <v>3</v>
      </c>
      <c r="E157" s="195">
        <v>4</v>
      </c>
    </row>
    <row r="158" spans="1:5" ht="46.5" customHeight="1">
      <c r="A158" s="200">
        <v>1</v>
      </c>
      <c r="B158" s="228" t="s">
        <v>356</v>
      </c>
      <c r="C158" s="201"/>
      <c r="D158" s="220">
        <f>E158</f>
        <v>240960</v>
      </c>
      <c r="E158" s="178">
        <v>240960</v>
      </c>
    </row>
    <row r="159" spans="1:5" ht="63" customHeight="1" thickBot="1">
      <c r="A159" s="200">
        <v>2</v>
      </c>
      <c r="B159" s="228" t="s">
        <v>434</v>
      </c>
      <c r="C159" s="201"/>
      <c r="D159" s="220">
        <f>E159</f>
        <v>310000</v>
      </c>
      <c r="E159" s="178">
        <v>310000</v>
      </c>
    </row>
    <row r="160" spans="1:5" ht="25.5" customHeight="1" thickBot="1">
      <c r="A160" s="460" t="s">
        <v>357</v>
      </c>
      <c r="B160" s="461"/>
      <c r="C160" s="206" t="s">
        <v>422</v>
      </c>
      <c r="D160" s="221">
        <f>D158+D159</f>
        <v>550960</v>
      </c>
      <c r="E160" s="221">
        <f>E158+E159</f>
        <v>550960</v>
      </c>
    </row>
    <row r="161" spans="1:5" ht="49.5" customHeight="1">
      <c r="A161" s="193">
        <v>1</v>
      </c>
      <c r="B161" s="229" t="s">
        <v>358</v>
      </c>
      <c r="C161" s="194"/>
      <c r="D161" s="230">
        <f>E161</f>
        <v>871339.1799999999</v>
      </c>
      <c r="E161" s="180">
        <f>1030000-158660.82</f>
        <v>871339.1799999999</v>
      </c>
    </row>
    <row r="162" spans="1:13" ht="85.5" customHeight="1" thickBot="1">
      <c r="A162" s="200">
        <v>2</v>
      </c>
      <c r="B162" s="228" t="s">
        <v>359</v>
      </c>
      <c r="C162" s="201"/>
      <c r="D162" s="220">
        <f>E162</f>
        <v>190000</v>
      </c>
      <c r="E162" s="178">
        <v>190000</v>
      </c>
      <c r="L162" s="258"/>
      <c r="M162" s="258"/>
    </row>
    <row r="163" spans="1:13" ht="30.75" customHeight="1" thickBot="1">
      <c r="A163" s="460" t="s">
        <v>360</v>
      </c>
      <c r="B163" s="461"/>
      <c r="C163" s="206" t="s">
        <v>422</v>
      </c>
      <c r="D163" s="221">
        <f>D161+D162</f>
        <v>1061339.18</v>
      </c>
      <c r="E163" s="179">
        <f>E162+E161</f>
        <v>1061339.18</v>
      </c>
      <c r="L163" s="258">
        <f>E163+E160+D152+E137+G109+F90+E78+D55+F43+J28+E65</f>
        <v>40445487.225634485</v>
      </c>
      <c r="M163" s="258"/>
    </row>
    <row r="164" spans="12:13" ht="15">
      <c r="L164" s="258">
        <f>37812964.23-1100000</f>
        <v>36712964.23</v>
      </c>
      <c r="M164" s="258">
        <f>L164-L163</f>
        <v>-3732522.9956344888</v>
      </c>
    </row>
    <row r="165" spans="12:13" ht="15">
      <c r="L165" s="258"/>
      <c r="M165" s="258"/>
    </row>
    <row r="166" spans="12:13" ht="15">
      <c r="L166" s="258" t="s">
        <v>448</v>
      </c>
      <c r="M166" s="258"/>
    </row>
    <row r="167" spans="12:13" ht="18.75">
      <c r="L167" s="376">
        <f>F36+F43+F90+E137+D152+E160+E163</f>
        <v>4477608.66</v>
      </c>
      <c r="M167" s="258"/>
    </row>
    <row r="168" spans="1:12" s="232" customFormat="1" ht="18.75">
      <c r="A168" s="462" t="s">
        <v>420</v>
      </c>
      <c r="B168" s="462"/>
      <c r="C168" s="462"/>
      <c r="D168" s="462"/>
      <c r="E168" s="462"/>
      <c r="L168" s="374">
        <f>3977608.66+500000</f>
        <v>4477608.66</v>
      </c>
    </row>
    <row r="169" spans="1:12" ht="18.75">
      <c r="A169" s="462" t="s">
        <v>435</v>
      </c>
      <c r="B169" s="462"/>
      <c r="C169" s="462"/>
      <c r="D169" s="462"/>
      <c r="E169" s="462"/>
      <c r="L169" s="374">
        <f>L167-L168</f>
        <v>0</v>
      </c>
    </row>
  </sheetData>
  <sheetProtection/>
  <mergeCells count="50">
    <mergeCell ref="A109:B109"/>
    <mergeCell ref="A72:G72"/>
    <mergeCell ref="A80:E80"/>
    <mergeCell ref="A154:F154"/>
    <mergeCell ref="A85:F85"/>
    <mergeCell ref="A92:F92"/>
    <mergeCell ref="A99:F99"/>
    <mergeCell ref="A111:E111"/>
    <mergeCell ref="A118:E118"/>
    <mergeCell ref="A139:E139"/>
    <mergeCell ref="A97:B97"/>
    <mergeCell ref="D50:D51"/>
    <mergeCell ref="A57:F57"/>
    <mergeCell ref="A59:F59"/>
    <mergeCell ref="A60:F60"/>
    <mergeCell ref="A68:G68"/>
    <mergeCell ref="A71:G71"/>
    <mergeCell ref="I20:I22"/>
    <mergeCell ref="J20:J22"/>
    <mergeCell ref="D21:D22"/>
    <mergeCell ref="E21:G21"/>
    <mergeCell ref="A28:B28"/>
    <mergeCell ref="A31:F31"/>
    <mergeCell ref="A11:J11"/>
    <mergeCell ref="A13:J13"/>
    <mergeCell ref="A15:J15"/>
    <mergeCell ref="A16:J16"/>
    <mergeCell ref="A18:J18"/>
    <mergeCell ref="A20:A22"/>
    <mergeCell ref="B20:B22"/>
    <mergeCell ref="C20:C22"/>
    <mergeCell ref="D20:G20"/>
    <mergeCell ref="H20:H22"/>
    <mergeCell ref="A36:B36"/>
    <mergeCell ref="A43:B43"/>
    <mergeCell ref="A55:B55"/>
    <mergeCell ref="A65:B65"/>
    <mergeCell ref="A78:B78"/>
    <mergeCell ref="A90:B90"/>
    <mergeCell ref="A38:F38"/>
    <mergeCell ref="A45:E45"/>
    <mergeCell ref="A50:A51"/>
    <mergeCell ref="C50:C51"/>
    <mergeCell ref="A169:E169"/>
    <mergeCell ref="A116:B116"/>
    <mergeCell ref="A137:B137"/>
    <mergeCell ref="A152:B152"/>
    <mergeCell ref="A160:B160"/>
    <mergeCell ref="A163:B163"/>
    <mergeCell ref="A168:E168"/>
  </mergeCells>
  <printOptions/>
  <pageMargins left="0.7" right="0.7" top="0.75" bottom="0.75" header="0.3" footer="0.3"/>
  <pageSetup horizontalDpi="600" verticalDpi="600" orientation="landscape" paperSize="9" scale="45" r:id="rId1"/>
  <rowBreaks count="5" manualBreakCount="5">
    <brk id="36" max="9" man="1"/>
    <brk id="55" max="9" man="1"/>
    <brk id="90" max="9" man="1"/>
    <brk id="116" max="9" man="1"/>
    <brk id="152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S165"/>
  <sheetViews>
    <sheetView view="pageBreakPreview" zoomScale="60" zoomScaleNormal="72" zoomScalePageLayoutView="0" workbookViewId="0" topLeftCell="A1">
      <selection activeCell="G161" sqref="G161"/>
    </sheetView>
  </sheetViews>
  <sheetFormatPr defaultColWidth="9.140625" defaultRowHeight="15"/>
  <cols>
    <col min="1" max="1" width="8.57421875" style="0" customWidth="1"/>
    <col min="2" max="2" width="34.8515625" style="0" customWidth="1"/>
    <col min="3" max="3" width="16.421875" style="0" customWidth="1"/>
    <col min="4" max="4" width="17.140625" style="0" customWidth="1"/>
    <col min="5" max="5" width="19.8515625" style="0" customWidth="1"/>
    <col min="6" max="6" width="21.421875" style="0" customWidth="1"/>
    <col min="7" max="7" width="19.8515625" style="0" customWidth="1"/>
    <col min="8" max="8" width="15.421875" style="0" customWidth="1"/>
    <col min="9" max="9" width="15.00390625" style="0" customWidth="1"/>
    <col min="10" max="10" width="21.140625" style="0" customWidth="1"/>
    <col min="12" max="12" width="25.8515625" style="0" customWidth="1"/>
    <col min="13" max="13" width="18.7109375" style="0" customWidth="1"/>
    <col min="14" max="14" width="9.421875" style="0" bestFit="1" customWidth="1"/>
    <col min="18" max="19" width="13.421875" style="0" bestFit="1" customWidth="1"/>
  </cols>
  <sheetData>
    <row r="1" ht="18.75">
      <c r="J1" s="8" t="s">
        <v>190</v>
      </c>
    </row>
    <row r="2" ht="18.75">
      <c r="J2" s="8" t="s">
        <v>120</v>
      </c>
    </row>
    <row r="3" ht="16.5">
      <c r="J3" s="17" t="s">
        <v>121</v>
      </c>
    </row>
    <row r="4" ht="16.5">
      <c r="J4" s="17" t="s">
        <v>122</v>
      </c>
    </row>
    <row r="5" ht="16.5">
      <c r="J5" s="17" t="s">
        <v>123</v>
      </c>
    </row>
    <row r="6" ht="16.5">
      <c r="J6" s="17" t="s">
        <v>124</v>
      </c>
    </row>
    <row r="7" ht="16.5">
      <c r="J7" s="17" t="s">
        <v>125</v>
      </c>
    </row>
    <row r="8" ht="16.5">
      <c r="J8" s="17" t="s">
        <v>126</v>
      </c>
    </row>
    <row r="11" spans="1:10" ht="22.5" customHeight="1">
      <c r="A11" s="444" t="s">
        <v>442</v>
      </c>
      <c r="B11" s="444"/>
      <c r="C11" s="444"/>
      <c r="D11" s="444"/>
      <c r="E11" s="444"/>
      <c r="F11" s="444"/>
      <c r="G11" s="444"/>
      <c r="H11" s="444"/>
      <c r="I11" s="444"/>
      <c r="J11" s="444"/>
    </row>
    <row r="12" spans="1:10" ht="18.75" hidden="1">
      <c r="A12" s="66"/>
      <c r="B12" s="66"/>
      <c r="C12" s="159"/>
      <c r="D12" s="66"/>
      <c r="E12" s="66"/>
      <c r="F12" s="66"/>
      <c r="G12" s="66"/>
      <c r="H12" s="66"/>
      <c r="I12" s="66"/>
      <c r="J12" s="66"/>
    </row>
    <row r="13" spans="1:10" ht="18.75" hidden="1">
      <c r="A13" s="444" t="s">
        <v>127</v>
      </c>
      <c r="B13" s="444"/>
      <c r="C13" s="444"/>
      <c r="D13" s="444"/>
      <c r="E13" s="444"/>
      <c r="F13" s="444"/>
      <c r="G13" s="444"/>
      <c r="H13" s="444"/>
      <c r="I13" s="444"/>
      <c r="J13" s="444"/>
    </row>
    <row r="14" spans="1:10" ht="15" hidden="1">
      <c r="A14" s="66"/>
      <c r="B14" s="66"/>
      <c r="C14" s="66"/>
      <c r="D14" s="66"/>
      <c r="E14" s="66"/>
      <c r="F14" s="66"/>
      <c r="G14" s="66"/>
      <c r="H14" s="66"/>
      <c r="I14" s="66"/>
      <c r="J14" s="66"/>
    </row>
    <row r="15" spans="1:10" ht="18.75" hidden="1">
      <c r="A15" s="411" t="s">
        <v>306</v>
      </c>
      <c r="B15" s="411"/>
      <c r="C15" s="411"/>
      <c r="D15" s="411"/>
      <c r="E15" s="411"/>
      <c r="F15" s="411"/>
      <c r="G15" s="411"/>
      <c r="H15" s="411"/>
      <c r="I15" s="411"/>
      <c r="J15" s="411"/>
    </row>
    <row r="16" spans="1:10" ht="21" customHeight="1" hidden="1">
      <c r="A16" s="411" t="s">
        <v>307</v>
      </c>
      <c r="B16" s="411"/>
      <c r="C16" s="411"/>
      <c r="D16" s="411"/>
      <c r="E16" s="411"/>
      <c r="F16" s="411"/>
      <c r="G16" s="411"/>
      <c r="H16" s="411"/>
      <c r="I16" s="411"/>
      <c r="J16" s="411"/>
    </row>
    <row r="17" ht="18.75" hidden="1">
      <c r="A17" s="18"/>
    </row>
    <row r="18" spans="1:10" ht="18.75" hidden="1">
      <c r="A18" s="444" t="s">
        <v>128</v>
      </c>
      <c r="B18" s="444"/>
      <c r="C18" s="444"/>
      <c r="D18" s="444"/>
      <c r="E18" s="444"/>
      <c r="F18" s="444"/>
      <c r="G18" s="444"/>
      <c r="H18" s="444"/>
      <c r="I18" s="444"/>
      <c r="J18" s="444"/>
    </row>
    <row r="19" ht="15" hidden="1">
      <c r="I19">
        <v>1.6</v>
      </c>
    </row>
    <row r="20" spans="1:10" ht="36" customHeight="1" hidden="1" thickBot="1">
      <c r="A20" s="482" t="s">
        <v>0</v>
      </c>
      <c r="B20" s="482" t="s">
        <v>129</v>
      </c>
      <c r="C20" s="482" t="s">
        <v>130</v>
      </c>
      <c r="D20" s="485" t="s">
        <v>131</v>
      </c>
      <c r="E20" s="486"/>
      <c r="F20" s="486"/>
      <c r="G20" s="487"/>
      <c r="H20" s="482" t="s">
        <v>132</v>
      </c>
      <c r="I20" s="482" t="s">
        <v>133</v>
      </c>
      <c r="J20" s="482" t="s">
        <v>134</v>
      </c>
    </row>
    <row r="21" spans="1:10" ht="19.5" hidden="1" thickBot="1">
      <c r="A21" s="483"/>
      <c r="B21" s="483"/>
      <c r="C21" s="483"/>
      <c r="D21" s="482" t="s">
        <v>135</v>
      </c>
      <c r="E21" s="485" t="s">
        <v>22</v>
      </c>
      <c r="F21" s="486"/>
      <c r="G21" s="487"/>
      <c r="H21" s="483"/>
      <c r="I21" s="483"/>
      <c r="J21" s="483"/>
    </row>
    <row r="22" spans="1:10" ht="109.5" customHeight="1" hidden="1" thickBot="1">
      <c r="A22" s="484"/>
      <c r="B22" s="484"/>
      <c r="C22" s="484"/>
      <c r="D22" s="484"/>
      <c r="E22" s="161" t="s">
        <v>136</v>
      </c>
      <c r="F22" s="161" t="s">
        <v>137</v>
      </c>
      <c r="G22" s="161" t="s">
        <v>138</v>
      </c>
      <c r="H22" s="484"/>
      <c r="I22" s="484"/>
      <c r="J22" s="484"/>
    </row>
    <row r="23" spans="1:10" ht="19.5" hidden="1" thickBot="1">
      <c r="A23" s="154">
        <v>1</v>
      </c>
      <c r="B23" s="161">
        <v>2</v>
      </c>
      <c r="C23" s="161">
        <v>3</v>
      </c>
      <c r="D23" s="161">
        <v>4</v>
      </c>
      <c r="E23" s="161">
        <v>5</v>
      </c>
      <c r="F23" s="161">
        <v>6</v>
      </c>
      <c r="G23" s="161">
        <v>7</v>
      </c>
      <c r="H23" s="161">
        <v>8</v>
      </c>
      <c r="I23" s="161">
        <v>9</v>
      </c>
      <c r="J23" s="161">
        <v>10</v>
      </c>
    </row>
    <row r="24" spans="1:13" ht="38.25" hidden="1" thickBot="1">
      <c r="A24" s="154"/>
      <c r="B24" s="154" t="s">
        <v>308</v>
      </c>
      <c r="C24" s="161"/>
      <c r="D24" s="16"/>
      <c r="E24" s="16"/>
      <c r="F24" s="16"/>
      <c r="G24" s="16"/>
      <c r="H24" s="16"/>
      <c r="I24" s="16"/>
      <c r="J24" s="16"/>
      <c r="L24" s="68"/>
      <c r="M24" s="68"/>
    </row>
    <row r="25" spans="1:13" ht="19.5" hidden="1" thickBot="1">
      <c r="A25" s="154"/>
      <c r="B25" s="154" t="s">
        <v>309</v>
      </c>
      <c r="C25" s="161"/>
      <c r="D25" s="16"/>
      <c r="E25" s="16"/>
      <c r="F25" s="16"/>
      <c r="G25" s="16"/>
      <c r="H25" s="69"/>
      <c r="I25" s="16"/>
      <c r="J25" s="16"/>
      <c r="L25" s="68"/>
      <c r="M25" s="68"/>
    </row>
    <row r="26" spans="1:12" ht="38.25" hidden="1" thickBot="1">
      <c r="A26" s="160"/>
      <c r="B26" s="154" t="s">
        <v>310</v>
      </c>
      <c r="C26" s="161"/>
      <c r="D26" s="16"/>
      <c r="E26" s="16"/>
      <c r="F26" s="16"/>
      <c r="G26" s="16"/>
      <c r="H26" s="16"/>
      <c r="I26" s="16"/>
      <c r="J26" s="16"/>
      <c r="L26" s="68"/>
    </row>
    <row r="27" spans="1:19" ht="19.5" hidden="1" thickBot="1">
      <c r="A27" s="160"/>
      <c r="B27" s="154" t="s">
        <v>311</v>
      </c>
      <c r="C27" s="161"/>
      <c r="D27" s="16"/>
      <c r="E27" s="70"/>
      <c r="F27" s="70"/>
      <c r="G27" s="16"/>
      <c r="H27" s="161"/>
      <c r="I27" s="16"/>
      <c r="J27" s="16"/>
      <c r="L27" s="68"/>
      <c r="M27" s="68"/>
      <c r="R27" s="68">
        <f>L27-J28</f>
        <v>0</v>
      </c>
      <c r="S27" s="71">
        <f>R27-259000-100000</f>
        <v>-359000</v>
      </c>
    </row>
    <row r="28" spans="1:12" ht="39.75" customHeight="1" hidden="1" thickBot="1">
      <c r="A28" s="488" t="s">
        <v>139</v>
      </c>
      <c r="B28" s="489"/>
      <c r="C28" s="72" t="s">
        <v>140</v>
      </c>
      <c r="D28" s="72"/>
      <c r="E28" s="72" t="s">
        <v>140</v>
      </c>
      <c r="F28" s="72" t="s">
        <v>140</v>
      </c>
      <c r="G28" s="72" t="s">
        <v>140</v>
      </c>
      <c r="H28" s="73" t="s">
        <v>140</v>
      </c>
      <c r="I28" s="72" t="s">
        <v>140</v>
      </c>
      <c r="J28" s="74">
        <f>SUM(J24:J27)</f>
        <v>0</v>
      </c>
      <c r="L28" s="68"/>
    </row>
    <row r="29" spans="12:13" ht="15" hidden="1">
      <c r="L29" s="75"/>
      <c r="M29" s="68"/>
    </row>
    <row r="30" spans="12:13" ht="15" hidden="1">
      <c r="L30" s="68"/>
      <c r="M30" s="68"/>
    </row>
    <row r="31" spans="1:12" s="76" customFormat="1" ht="38.25" customHeight="1" hidden="1">
      <c r="A31" s="475" t="s">
        <v>183</v>
      </c>
      <c r="B31" s="475"/>
      <c r="C31" s="475"/>
      <c r="D31" s="475"/>
      <c r="E31" s="475"/>
      <c r="F31" s="475"/>
      <c r="L31" s="77"/>
    </row>
    <row r="32" s="76" customFormat="1" ht="15" hidden="1">
      <c r="L32" s="77"/>
    </row>
    <row r="33" spans="1:12" s="76" customFormat="1" ht="123" customHeight="1" hidden="1" thickBot="1">
      <c r="A33" s="78" t="s">
        <v>0</v>
      </c>
      <c r="B33" s="162" t="s">
        <v>141</v>
      </c>
      <c r="C33" s="162" t="s">
        <v>142</v>
      </c>
      <c r="D33" s="162" t="s">
        <v>143</v>
      </c>
      <c r="E33" s="162" t="s">
        <v>144</v>
      </c>
      <c r="F33" s="162" t="s">
        <v>145</v>
      </c>
      <c r="L33" s="77"/>
    </row>
    <row r="34" spans="1:6" s="76" customFormat="1" ht="19.5" hidden="1" thickBot="1">
      <c r="A34" s="157">
        <v>1</v>
      </c>
      <c r="B34" s="58">
        <v>2</v>
      </c>
      <c r="C34" s="58">
        <v>3</v>
      </c>
      <c r="D34" s="58">
        <v>4</v>
      </c>
      <c r="E34" s="58">
        <v>5</v>
      </c>
      <c r="F34" s="58">
        <v>6</v>
      </c>
    </row>
    <row r="35" spans="1:6" s="76" customFormat="1" ht="19.5" hidden="1" thickBot="1">
      <c r="A35" s="157">
        <v>1</v>
      </c>
      <c r="B35" s="58"/>
      <c r="C35" s="80">
        <v>0</v>
      </c>
      <c r="D35" s="80">
        <v>0</v>
      </c>
      <c r="E35" s="80">
        <v>0</v>
      </c>
      <c r="F35" s="80">
        <f>C35*D35*E35</f>
        <v>0</v>
      </c>
    </row>
    <row r="36" spans="1:6" s="76" customFormat="1" ht="19.5" hidden="1" thickBot="1">
      <c r="A36" s="157"/>
      <c r="B36" s="81" t="s">
        <v>139</v>
      </c>
      <c r="C36" s="82" t="s">
        <v>140</v>
      </c>
      <c r="D36" s="82" t="s">
        <v>140</v>
      </c>
      <c r="E36" s="82" t="s">
        <v>140</v>
      </c>
      <c r="F36" s="83">
        <f>F35</f>
        <v>0</v>
      </c>
    </row>
    <row r="37" s="76" customFormat="1" ht="15" hidden="1"/>
    <row r="38" spans="1:6" s="76" customFormat="1" ht="18.75" hidden="1">
      <c r="A38" s="475" t="s">
        <v>184</v>
      </c>
      <c r="B38" s="475"/>
      <c r="C38" s="475"/>
      <c r="D38" s="475"/>
      <c r="E38" s="475"/>
      <c r="F38" s="475"/>
    </row>
    <row r="39" s="76" customFormat="1" ht="15" hidden="1"/>
    <row r="40" spans="1:6" s="76" customFormat="1" ht="124.5" customHeight="1" hidden="1" thickBot="1">
      <c r="A40" s="78" t="s">
        <v>0</v>
      </c>
      <c r="B40" s="162" t="s">
        <v>141</v>
      </c>
      <c r="C40" s="162" t="s">
        <v>146</v>
      </c>
      <c r="D40" s="162" t="s">
        <v>147</v>
      </c>
      <c r="E40" s="162" t="s">
        <v>148</v>
      </c>
      <c r="F40" s="162" t="s">
        <v>145</v>
      </c>
    </row>
    <row r="41" spans="1:6" s="76" customFormat="1" ht="19.5" hidden="1" thickBot="1">
      <c r="A41" s="157">
        <v>1</v>
      </c>
      <c r="B41" s="58">
        <v>2</v>
      </c>
      <c r="C41" s="58">
        <v>3</v>
      </c>
      <c r="D41" s="58">
        <v>4</v>
      </c>
      <c r="E41" s="58">
        <v>5</v>
      </c>
      <c r="F41" s="58">
        <v>6</v>
      </c>
    </row>
    <row r="42" spans="1:6" s="76" customFormat="1" ht="51.75" customHeight="1" hidden="1" thickBot="1">
      <c r="A42" s="157">
        <v>1</v>
      </c>
      <c r="B42" s="58" t="s">
        <v>312</v>
      </c>
      <c r="C42" s="58"/>
      <c r="D42" s="58"/>
      <c r="E42" s="80"/>
      <c r="F42" s="80">
        <f>C42*D42*E42</f>
        <v>0</v>
      </c>
    </row>
    <row r="43" spans="1:6" s="76" customFormat="1" ht="19.5" hidden="1" thickBot="1">
      <c r="A43" s="157"/>
      <c r="B43" s="81" t="s">
        <v>139</v>
      </c>
      <c r="C43" s="82" t="s">
        <v>140</v>
      </c>
      <c r="D43" s="82" t="s">
        <v>140</v>
      </c>
      <c r="E43" s="82" t="s">
        <v>140</v>
      </c>
      <c r="F43" s="84">
        <f>F42</f>
        <v>0</v>
      </c>
    </row>
    <row r="44" s="76" customFormat="1" ht="15" hidden="1"/>
    <row r="45" spans="1:5" s="76" customFormat="1" ht="80.25" customHeight="1" hidden="1">
      <c r="A45" s="475" t="s">
        <v>185</v>
      </c>
      <c r="B45" s="475"/>
      <c r="C45" s="475"/>
      <c r="D45" s="475"/>
      <c r="E45" s="475"/>
    </row>
    <row r="46" s="76" customFormat="1" ht="15" hidden="1"/>
    <row r="47" spans="1:4" s="76" customFormat="1" ht="144.75" customHeight="1" hidden="1" thickBot="1">
      <c r="A47" s="78" t="s">
        <v>0</v>
      </c>
      <c r="B47" s="162" t="s">
        <v>149</v>
      </c>
      <c r="C47" s="162" t="s">
        <v>150</v>
      </c>
      <c r="D47" s="162" t="s">
        <v>151</v>
      </c>
    </row>
    <row r="48" spans="1:4" s="76" customFormat="1" ht="19.5" hidden="1" thickBot="1">
      <c r="A48" s="157">
        <v>1</v>
      </c>
      <c r="B48" s="58">
        <v>2</v>
      </c>
      <c r="C48" s="58">
        <v>3</v>
      </c>
      <c r="D48" s="58">
        <v>4</v>
      </c>
    </row>
    <row r="49" spans="1:4" s="76" customFormat="1" ht="113.25" customHeight="1" hidden="1" thickBot="1">
      <c r="A49" s="157">
        <v>1</v>
      </c>
      <c r="B49" s="85" t="s">
        <v>152</v>
      </c>
      <c r="C49" s="58" t="s">
        <v>140</v>
      </c>
      <c r="D49" s="59"/>
    </row>
    <row r="50" spans="1:4" s="76" customFormat="1" ht="18.75" hidden="1">
      <c r="A50" s="478" t="s">
        <v>153</v>
      </c>
      <c r="B50" s="86" t="s">
        <v>22</v>
      </c>
      <c r="C50" s="478"/>
      <c r="D50" s="480"/>
    </row>
    <row r="51" spans="1:4" s="76" customFormat="1" ht="19.5" hidden="1" thickBot="1">
      <c r="A51" s="479"/>
      <c r="B51" s="88" t="s">
        <v>154</v>
      </c>
      <c r="C51" s="479"/>
      <c r="D51" s="481"/>
    </row>
    <row r="52" spans="1:4" s="76" customFormat="1" ht="19.5" hidden="1" thickBot="1">
      <c r="A52" s="157" t="s">
        <v>155</v>
      </c>
      <c r="B52" s="89" t="s">
        <v>156</v>
      </c>
      <c r="C52" s="58"/>
      <c r="D52" s="59"/>
    </row>
    <row r="53" spans="1:4" s="76" customFormat="1" ht="120.75" customHeight="1" hidden="1" thickBot="1">
      <c r="A53" s="157">
        <v>2</v>
      </c>
      <c r="B53" s="85" t="s">
        <v>157</v>
      </c>
      <c r="C53" s="58" t="s">
        <v>140</v>
      </c>
      <c r="D53" s="59"/>
    </row>
    <row r="54" spans="1:4" s="76" customFormat="1" ht="164.25" customHeight="1" hidden="1" thickBot="1">
      <c r="A54" s="157">
        <v>3</v>
      </c>
      <c r="B54" s="85" t="s">
        <v>158</v>
      </c>
      <c r="C54" s="59">
        <f>J28</f>
        <v>0</v>
      </c>
      <c r="D54" s="59">
        <f>C54*5.1%</f>
        <v>0</v>
      </c>
    </row>
    <row r="55" spans="1:4" s="76" customFormat="1" ht="19.5" hidden="1" thickBot="1">
      <c r="A55" s="157"/>
      <c r="B55" s="81" t="s">
        <v>139</v>
      </c>
      <c r="C55" s="82" t="s">
        <v>140</v>
      </c>
      <c r="D55" s="90">
        <f>D50+D53+D54</f>
        <v>0</v>
      </c>
    </row>
    <row r="56" s="76" customFormat="1" ht="15" hidden="1"/>
    <row r="57" spans="1:6" s="76" customFormat="1" ht="36" customHeight="1" hidden="1">
      <c r="A57" s="475" t="s">
        <v>186</v>
      </c>
      <c r="B57" s="475"/>
      <c r="C57" s="475"/>
      <c r="D57" s="475"/>
      <c r="E57" s="475"/>
      <c r="F57" s="475"/>
    </row>
    <row r="58" s="76" customFormat="1" ht="15" hidden="1"/>
    <row r="59" spans="1:6" s="76" customFormat="1" ht="18.75" hidden="1">
      <c r="A59" s="476" t="s">
        <v>187</v>
      </c>
      <c r="B59" s="476"/>
      <c r="C59" s="476"/>
      <c r="D59" s="476"/>
      <c r="E59" s="476"/>
      <c r="F59" s="476"/>
    </row>
    <row r="60" spans="1:6" s="76" customFormat="1" ht="18.75" hidden="1">
      <c r="A60" s="476" t="s">
        <v>188</v>
      </c>
      <c r="B60" s="476"/>
      <c r="C60" s="476"/>
      <c r="D60" s="476"/>
      <c r="E60" s="476"/>
      <c r="F60" s="476"/>
    </row>
    <row r="61" s="76" customFormat="1" ht="18.75" hidden="1">
      <c r="A61" s="91"/>
    </row>
    <row r="62" spans="1:5" s="76" customFormat="1" ht="108" customHeight="1" hidden="1" thickBot="1">
      <c r="A62" s="78" t="s">
        <v>0</v>
      </c>
      <c r="B62" s="162" t="s">
        <v>1</v>
      </c>
      <c r="C62" s="162" t="s">
        <v>159</v>
      </c>
      <c r="D62" s="162" t="s">
        <v>160</v>
      </c>
      <c r="E62" s="162" t="s">
        <v>161</v>
      </c>
    </row>
    <row r="63" spans="1:5" s="76" customFormat="1" ht="19.5" hidden="1" thickBot="1">
      <c r="A63" s="157">
        <v>1</v>
      </c>
      <c r="B63" s="58">
        <v>2</v>
      </c>
      <c r="C63" s="58">
        <v>3</v>
      </c>
      <c r="D63" s="58">
        <v>4</v>
      </c>
      <c r="E63" s="58">
        <v>5</v>
      </c>
    </row>
    <row r="64" spans="1:5" s="76" customFormat="1" ht="19.5" hidden="1" thickBot="1">
      <c r="A64" s="157"/>
      <c r="B64" s="58"/>
      <c r="C64" s="58"/>
      <c r="D64" s="58"/>
      <c r="E64" s="58"/>
    </row>
    <row r="65" spans="1:5" s="76" customFormat="1" ht="19.5" hidden="1" thickBot="1">
      <c r="A65" s="157"/>
      <c r="B65" s="81" t="s">
        <v>139</v>
      </c>
      <c r="C65" s="82" t="s">
        <v>140</v>
      </c>
      <c r="D65" s="82" t="s">
        <v>140</v>
      </c>
      <c r="E65" s="82"/>
    </row>
    <row r="66" s="76" customFormat="1" ht="15" hidden="1"/>
    <row r="67" s="76" customFormat="1" ht="15" hidden="1"/>
    <row r="68" s="76" customFormat="1" ht="15" hidden="1"/>
    <row r="69" s="76" customFormat="1" ht="15" hidden="1"/>
    <row r="70" spans="1:7" s="76" customFormat="1" ht="18.75" hidden="1">
      <c r="A70" s="477" t="s">
        <v>408</v>
      </c>
      <c r="B70" s="477"/>
      <c r="C70" s="477"/>
      <c r="D70" s="477"/>
      <c r="E70" s="477"/>
      <c r="F70" s="477"/>
      <c r="G70" s="477"/>
    </row>
    <row r="71" s="76" customFormat="1" ht="18.75" hidden="1">
      <c r="A71" s="92"/>
    </row>
    <row r="72" s="76" customFormat="1" ht="18.75" hidden="1">
      <c r="A72" s="91"/>
    </row>
    <row r="73" spans="1:7" s="76" customFormat="1" ht="18.75" hidden="1">
      <c r="A73" s="476" t="s">
        <v>405</v>
      </c>
      <c r="B73" s="476"/>
      <c r="C73" s="476"/>
      <c r="D73" s="476"/>
      <c r="E73" s="476"/>
      <c r="F73" s="476"/>
      <c r="G73" s="476"/>
    </row>
    <row r="74" spans="1:7" s="76" customFormat="1" ht="18.75" hidden="1">
      <c r="A74" s="476" t="s">
        <v>406</v>
      </c>
      <c r="B74" s="476"/>
      <c r="C74" s="476"/>
      <c r="D74" s="476"/>
      <c r="E74" s="476"/>
      <c r="F74" s="476"/>
      <c r="G74" s="476"/>
    </row>
    <row r="75" s="76" customFormat="1" ht="18.75" hidden="1">
      <c r="A75" s="91"/>
    </row>
    <row r="76" spans="1:5" s="76" customFormat="1" ht="141.75" customHeight="1" hidden="1" thickBot="1">
      <c r="A76" s="78" t="s">
        <v>0</v>
      </c>
      <c r="B76" s="162" t="s">
        <v>141</v>
      </c>
      <c r="C76" s="162" t="s">
        <v>162</v>
      </c>
      <c r="D76" s="162" t="s">
        <v>163</v>
      </c>
      <c r="E76" s="162" t="s">
        <v>164</v>
      </c>
    </row>
    <row r="77" spans="1:5" s="76" customFormat="1" ht="19.5" hidden="1" thickBot="1">
      <c r="A77" s="157">
        <v>1</v>
      </c>
      <c r="B77" s="58">
        <v>2</v>
      </c>
      <c r="C77" s="58">
        <v>3</v>
      </c>
      <c r="D77" s="58">
        <v>4</v>
      </c>
      <c r="E77" s="58">
        <v>5</v>
      </c>
    </row>
    <row r="78" spans="1:8" s="76" customFormat="1" ht="19.5" hidden="1" thickBot="1">
      <c r="A78" s="157">
        <v>1</v>
      </c>
      <c r="B78" s="58" t="s">
        <v>407</v>
      </c>
      <c r="C78" s="93"/>
      <c r="D78" s="93"/>
      <c r="E78" s="93">
        <v>0</v>
      </c>
      <c r="H78" s="94"/>
    </row>
    <row r="79" spans="1:5" s="76" customFormat="1" ht="27" customHeight="1" hidden="1">
      <c r="A79" s="157">
        <v>2</v>
      </c>
      <c r="B79" s="58" t="s">
        <v>316</v>
      </c>
      <c r="C79" s="93"/>
      <c r="D79" s="93"/>
      <c r="E79" s="93"/>
    </row>
    <row r="80" spans="1:5" s="76" customFormat="1" ht="19.5" hidden="1" thickBot="1">
      <c r="A80" s="157"/>
      <c r="B80" s="81" t="s">
        <v>139</v>
      </c>
      <c r="C80" s="84"/>
      <c r="D80" s="84" t="s">
        <v>140</v>
      </c>
      <c r="E80" s="84">
        <f>E79+E78</f>
        <v>0</v>
      </c>
    </row>
    <row r="81" s="76" customFormat="1" ht="15" hidden="1"/>
    <row r="82" spans="1:9" s="76" customFormat="1" ht="18.75" hidden="1">
      <c r="A82" s="477" t="s">
        <v>363</v>
      </c>
      <c r="B82" s="477"/>
      <c r="C82" s="477"/>
      <c r="D82" s="477"/>
      <c r="E82" s="477"/>
      <c r="F82" s="477"/>
      <c r="G82" s="477"/>
      <c r="H82" s="477"/>
      <c r="I82" s="477"/>
    </row>
    <row r="83" s="76" customFormat="1" ht="18.75" hidden="1">
      <c r="A83" s="92"/>
    </row>
    <row r="84" s="76" customFormat="1" ht="18.75" hidden="1">
      <c r="A84" s="95" t="s">
        <v>318</v>
      </c>
    </row>
    <row r="85" spans="1:7" s="76" customFormat="1" ht="18.75" hidden="1">
      <c r="A85" s="163" t="s">
        <v>364</v>
      </c>
      <c r="B85" s="163"/>
      <c r="C85" s="163"/>
      <c r="D85" s="163"/>
      <c r="E85" s="163"/>
      <c r="F85" s="163"/>
      <c r="G85" s="163"/>
    </row>
    <row r="86" s="76" customFormat="1" ht="18.75" hidden="1">
      <c r="A86" s="95"/>
    </row>
    <row r="87" spans="1:6" s="76" customFormat="1" ht="18.75" hidden="1">
      <c r="A87" s="477" t="s">
        <v>365</v>
      </c>
      <c r="B87" s="477"/>
      <c r="C87" s="477"/>
      <c r="D87" s="477"/>
      <c r="E87" s="477"/>
      <c r="F87" s="477"/>
    </row>
    <row r="88" s="76" customFormat="1" ht="15" hidden="1"/>
    <row r="89" spans="1:6" s="76" customFormat="1" ht="57" hidden="1" thickBot="1">
      <c r="A89" s="78" t="s">
        <v>0</v>
      </c>
      <c r="B89" s="162" t="s">
        <v>141</v>
      </c>
      <c r="C89" s="162" t="s">
        <v>165</v>
      </c>
      <c r="D89" s="162" t="s">
        <v>166</v>
      </c>
      <c r="E89" s="162" t="s">
        <v>167</v>
      </c>
      <c r="F89" s="162" t="s">
        <v>145</v>
      </c>
    </row>
    <row r="90" spans="1:6" s="76" customFormat="1" ht="19.5" hidden="1" thickBot="1">
      <c r="A90" s="157">
        <v>1</v>
      </c>
      <c r="B90" s="58">
        <v>2</v>
      </c>
      <c r="C90" s="58">
        <v>3</v>
      </c>
      <c r="D90" s="58">
        <v>4</v>
      </c>
      <c r="E90" s="58">
        <v>5</v>
      </c>
      <c r="F90" s="58">
        <v>6</v>
      </c>
    </row>
    <row r="91" spans="1:6" s="76" customFormat="1" ht="38.25" hidden="1" thickBot="1">
      <c r="A91" s="157">
        <v>1</v>
      </c>
      <c r="B91" s="58" t="s">
        <v>320</v>
      </c>
      <c r="C91" s="58"/>
      <c r="D91" s="58"/>
      <c r="E91" s="93"/>
      <c r="F91" s="93">
        <f>C91*D91*E91</f>
        <v>0</v>
      </c>
    </row>
    <row r="92" spans="1:6" s="76" customFormat="1" ht="19.5" hidden="1" thickBot="1">
      <c r="A92" s="157"/>
      <c r="B92" s="81" t="s">
        <v>139</v>
      </c>
      <c r="C92" s="82" t="s">
        <v>140</v>
      </c>
      <c r="D92" s="82" t="s">
        <v>140</v>
      </c>
      <c r="E92" s="82" t="s">
        <v>140</v>
      </c>
      <c r="F92" s="84">
        <f>F91</f>
        <v>0</v>
      </c>
    </row>
    <row r="93" s="76" customFormat="1" ht="15" hidden="1"/>
    <row r="94" spans="1:6" s="76" customFormat="1" ht="30" customHeight="1" hidden="1" thickBot="1">
      <c r="A94" s="477" t="s">
        <v>366</v>
      </c>
      <c r="B94" s="477"/>
      <c r="C94" s="477"/>
      <c r="D94" s="477"/>
      <c r="E94" s="477"/>
      <c r="F94" s="477"/>
    </row>
    <row r="95" s="76" customFormat="1" ht="15" hidden="1"/>
    <row r="96" spans="1:5" s="76" customFormat="1" ht="57" hidden="1" thickBot="1">
      <c r="A96" s="78" t="s">
        <v>0</v>
      </c>
      <c r="B96" s="162" t="s">
        <v>141</v>
      </c>
      <c r="C96" s="162" t="s">
        <v>168</v>
      </c>
      <c r="D96" s="162" t="s">
        <v>169</v>
      </c>
      <c r="E96" s="162" t="s">
        <v>170</v>
      </c>
    </row>
    <row r="97" spans="1:5" s="76" customFormat="1" ht="19.5" hidden="1" thickBot="1">
      <c r="A97" s="157">
        <v>1</v>
      </c>
      <c r="B97" s="58">
        <v>2</v>
      </c>
      <c r="C97" s="58">
        <v>3</v>
      </c>
      <c r="D97" s="58">
        <v>4</v>
      </c>
      <c r="E97" s="58">
        <v>5</v>
      </c>
    </row>
    <row r="98" spans="1:5" s="76" customFormat="1" ht="19.5" hidden="1" thickBot="1">
      <c r="A98" s="157"/>
      <c r="B98" s="58"/>
      <c r="C98" s="80">
        <v>0</v>
      </c>
      <c r="D98" s="80">
        <v>0</v>
      </c>
      <c r="E98" s="80">
        <f>C98*D98</f>
        <v>0</v>
      </c>
    </row>
    <row r="99" spans="1:5" s="76" customFormat="1" ht="19.5" hidden="1" thickBot="1">
      <c r="A99" s="157"/>
      <c r="B99" s="97" t="s">
        <v>139</v>
      </c>
      <c r="C99" s="98">
        <f>C98</f>
        <v>0</v>
      </c>
      <c r="D99" s="98">
        <f>D98</f>
        <v>0</v>
      </c>
      <c r="E99" s="98">
        <f>E98</f>
        <v>0</v>
      </c>
    </row>
    <row r="100" s="76" customFormat="1" ht="15" hidden="1"/>
    <row r="101" spans="1:6" s="76" customFormat="1" ht="18.75" hidden="1">
      <c r="A101" s="477" t="s">
        <v>367</v>
      </c>
      <c r="B101" s="477"/>
      <c r="C101" s="477"/>
      <c r="D101" s="477"/>
      <c r="E101" s="477"/>
      <c r="F101" s="477"/>
    </row>
    <row r="102" s="76" customFormat="1" ht="15" hidden="1"/>
    <row r="103" spans="1:7" s="76" customFormat="1" ht="57" hidden="1" thickBot="1">
      <c r="A103" s="78" t="s">
        <v>0</v>
      </c>
      <c r="B103" s="162" t="s">
        <v>1</v>
      </c>
      <c r="C103" s="162" t="s">
        <v>323</v>
      </c>
      <c r="D103" s="162" t="s">
        <v>324</v>
      </c>
      <c r="E103" s="162" t="s">
        <v>171</v>
      </c>
      <c r="F103" s="162" t="s">
        <v>172</v>
      </c>
      <c r="G103" s="162" t="s">
        <v>173</v>
      </c>
    </row>
    <row r="104" spans="1:7" s="76" customFormat="1" ht="19.5" hidden="1" thickBot="1">
      <c r="A104" s="157">
        <v>1</v>
      </c>
      <c r="B104" s="58">
        <v>2</v>
      </c>
      <c r="C104" s="58">
        <v>3</v>
      </c>
      <c r="D104" s="58">
        <v>4</v>
      </c>
      <c r="E104" s="58">
        <v>5</v>
      </c>
      <c r="F104" s="58">
        <v>6</v>
      </c>
      <c r="G104" s="58">
        <v>7</v>
      </c>
    </row>
    <row r="105" spans="1:7" s="76" customFormat="1" ht="47.25" customHeight="1" hidden="1" thickBot="1">
      <c r="A105" s="157">
        <v>1</v>
      </c>
      <c r="B105" s="157" t="s">
        <v>325</v>
      </c>
      <c r="C105" s="80" t="s">
        <v>326</v>
      </c>
      <c r="D105" s="80"/>
      <c r="E105" s="80"/>
      <c r="F105" s="58"/>
      <c r="G105" s="99"/>
    </row>
    <row r="106" spans="1:7" s="76" customFormat="1" ht="47.25" customHeight="1" hidden="1" thickBot="1">
      <c r="A106" s="157">
        <v>2</v>
      </c>
      <c r="B106" s="157" t="s">
        <v>327</v>
      </c>
      <c r="C106" s="80" t="s">
        <v>326</v>
      </c>
      <c r="D106" s="80"/>
      <c r="E106" s="80"/>
      <c r="F106" s="58"/>
      <c r="G106" s="99"/>
    </row>
    <row r="107" spans="1:7" s="76" customFormat="1" ht="47.25" customHeight="1" hidden="1" thickBot="1">
      <c r="A107" s="157">
        <v>3</v>
      </c>
      <c r="B107" s="157" t="s">
        <v>328</v>
      </c>
      <c r="C107" s="80" t="s">
        <v>329</v>
      </c>
      <c r="D107" s="80"/>
      <c r="E107" s="80"/>
      <c r="F107" s="58"/>
      <c r="G107" s="99"/>
    </row>
    <row r="108" spans="1:7" s="76" customFormat="1" ht="47.25" customHeight="1" hidden="1" thickBot="1">
      <c r="A108" s="157">
        <v>4</v>
      </c>
      <c r="B108" s="157" t="s">
        <v>330</v>
      </c>
      <c r="C108" s="80" t="s">
        <v>368</v>
      </c>
      <c r="D108" s="80"/>
      <c r="E108" s="80"/>
      <c r="F108" s="58"/>
      <c r="G108" s="99"/>
    </row>
    <row r="109" spans="1:7" s="76" customFormat="1" ht="47.25" customHeight="1" hidden="1" thickBot="1">
      <c r="A109" s="157">
        <v>5</v>
      </c>
      <c r="B109" s="157" t="s">
        <v>332</v>
      </c>
      <c r="C109" s="80" t="s">
        <v>368</v>
      </c>
      <c r="D109" s="80"/>
      <c r="E109" s="80"/>
      <c r="F109" s="58"/>
      <c r="G109" s="99"/>
    </row>
    <row r="110" spans="1:7" s="76" customFormat="1" ht="47.25" customHeight="1" hidden="1">
      <c r="A110" s="157">
        <v>6</v>
      </c>
      <c r="B110" s="157" t="s">
        <v>333</v>
      </c>
      <c r="C110" s="80" t="s">
        <v>368</v>
      </c>
      <c r="D110" s="80"/>
      <c r="E110" s="80"/>
      <c r="F110" s="58"/>
      <c r="G110" s="99"/>
    </row>
    <row r="111" spans="1:7" s="76" customFormat="1" ht="19.5" hidden="1" thickBot="1">
      <c r="A111" s="157"/>
      <c r="B111" s="81" t="s">
        <v>139</v>
      </c>
      <c r="C111" s="82" t="s">
        <v>140</v>
      </c>
      <c r="D111" s="82" t="s">
        <v>140</v>
      </c>
      <c r="E111" s="82" t="s">
        <v>140</v>
      </c>
      <c r="F111" s="82" t="s">
        <v>140</v>
      </c>
      <c r="G111" s="100">
        <f>G110+G109+G108+G107+G106+G105</f>
        <v>0</v>
      </c>
    </row>
    <row r="112" s="76" customFormat="1" ht="15" hidden="1"/>
    <row r="113" spans="1:6" s="76" customFormat="1" ht="18.75" hidden="1">
      <c r="A113" s="477" t="s">
        <v>369</v>
      </c>
      <c r="B113" s="477"/>
      <c r="C113" s="477"/>
      <c r="D113" s="477"/>
      <c r="E113" s="477"/>
      <c r="F113" s="95"/>
    </row>
    <row r="114" s="76" customFormat="1" ht="15" hidden="1"/>
    <row r="115" spans="1:5" s="76" customFormat="1" ht="57" hidden="1" thickBot="1">
      <c r="A115" s="78" t="s">
        <v>0</v>
      </c>
      <c r="B115" s="162" t="s">
        <v>1</v>
      </c>
      <c r="C115" s="162" t="s">
        <v>174</v>
      </c>
      <c r="D115" s="162" t="s">
        <v>175</v>
      </c>
      <c r="E115" s="162" t="s">
        <v>176</v>
      </c>
    </row>
    <row r="116" spans="1:5" s="76" customFormat="1" ht="19.5" hidden="1" thickBot="1">
      <c r="A116" s="157">
        <v>1</v>
      </c>
      <c r="B116" s="58">
        <v>2</v>
      </c>
      <c r="C116" s="58">
        <v>3</v>
      </c>
      <c r="D116" s="58">
        <v>4</v>
      </c>
      <c r="E116" s="58">
        <v>5</v>
      </c>
    </row>
    <row r="117" spans="1:5" s="76" customFormat="1" ht="19.5" hidden="1" thickBot="1">
      <c r="A117" s="157"/>
      <c r="B117" s="58"/>
      <c r="C117" s="58"/>
      <c r="D117" s="58"/>
      <c r="E117" s="58"/>
    </row>
    <row r="118" spans="1:5" s="76" customFormat="1" ht="19.5" hidden="1" thickBot="1">
      <c r="A118" s="157"/>
      <c r="B118" s="101" t="s">
        <v>139</v>
      </c>
      <c r="C118" s="58" t="s">
        <v>140</v>
      </c>
      <c r="D118" s="58" t="s">
        <v>140</v>
      </c>
      <c r="E118" s="58" t="s">
        <v>140</v>
      </c>
    </row>
    <row r="119" s="76" customFormat="1" ht="15" hidden="1"/>
    <row r="120" spans="1:5" s="76" customFormat="1" ht="39.75" customHeight="1" hidden="1" thickBot="1">
      <c r="A120" s="475" t="s">
        <v>370</v>
      </c>
      <c r="B120" s="475"/>
      <c r="C120" s="475"/>
      <c r="D120" s="475"/>
      <c r="E120" s="475"/>
    </row>
    <row r="121" s="76" customFormat="1" ht="18.75" hidden="1">
      <c r="A121" s="91"/>
    </row>
    <row r="122" spans="1:5" s="76" customFormat="1" ht="57" hidden="1" thickBot="1">
      <c r="A122" s="78" t="s">
        <v>0</v>
      </c>
      <c r="B122" s="162" t="s">
        <v>141</v>
      </c>
      <c r="C122" s="162" t="s">
        <v>177</v>
      </c>
      <c r="D122" s="162" t="s">
        <v>178</v>
      </c>
      <c r="E122" s="162" t="s">
        <v>179</v>
      </c>
    </row>
    <row r="123" spans="1:5" s="76" customFormat="1" ht="19.5" hidden="1" thickBot="1">
      <c r="A123" s="157">
        <v>1</v>
      </c>
      <c r="B123" s="58">
        <v>2</v>
      </c>
      <c r="C123" s="58">
        <v>3</v>
      </c>
      <c r="D123" s="58">
        <v>4</v>
      </c>
      <c r="E123" s="58">
        <v>5</v>
      </c>
    </row>
    <row r="124" spans="1:5" s="76" customFormat="1" ht="19.5" hidden="1" thickBot="1">
      <c r="A124" s="157">
        <v>1</v>
      </c>
      <c r="B124" s="102" t="s">
        <v>336</v>
      </c>
      <c r="C124" s="58"/>
      <c r="D124" s="58"/>
      <c r="E124" s="93"/>
    </row>
    <row r="125" spans="1:5" s="76" customFormat="1" ht="19.5" hidden="1" thickBot="1">
      <c r="A125" s="157">
        <v>2</v>
      </c>
      <c r="B125" s="102" t="s">
        <v>337</v>
      </c>
      <c r="C125" s="58"/>
      <c r="D125" s="58"/>
      <c r="E125" s="93"/>
    </row>
    <row r="126" spans="1:5" s="76" customFormat="1" ht="19.5" hidden="1" thickBot="1">
      <c r="A126" s="157">
        <v>3</v>
      </c>
      <c r="B126" s="102" t="s">
        <v>338</v>
      </c>
      <c r="C126" s="58"/>
      <c r="D126" s="58"/>
      <c r="E126" s="93"/>
    </row>
    <row r="127" spans="1:5" s="76" customFormat="1" ht="38.25" hidden="1" thickBot="1">
      <c r="A127" s="157">
        <v>4</v>
      </c>
      <c r="B127" s="102" t="s">
        <v>339</v>
      </c>
      <c r="C127" s="58"/>
      <c r="D127" s="58"/>
      <c r="E127" s="93"/>
    </row>
    <row r="128" spans="1:5" s="76" customFormat="1" ht="24.75" customHeight="1" hidden="1" thickBot="1">
      <c r="A128" s="157">
        <v>5</v>
      </c>
      <c r="B128" s="102" t="s">
        <v>340</v>
      </c>
      <c r="C128" s="58"/>
      <c r="D128" s="58"/>
      <c r="E128" s="93"/>
    </row>
    <row r="129" spans="1:5" s="76" customFormat="1" ht="57" hidden="1" thickBot="1">
      <c r="A129" s="157">
        <v>6</v>
      </c>
      <c r="B129" s="102" t="s">
        <v>341</v>
      </c>
      <c r="C129" s="58"/>
      <c r="D129" s="58"/>
      <c r="E129" s="93"/>
    </row>
    <row r="130" spans="1:5" s="76" customFormat="1" ht="19.5" hidden="1" thickBot="1">
      <c r="A130" s="157">
        <v>7</v>
      </c>
      <c r="B130" s="102" t="s">
        <v>342</v>
      </c>
      <c r="C130" s="58"/>
      <c r="D130" s="58"/>
      <c r="E130" s="93"/>
    </row>
    <row r="131" spans="1:5" s="76" customFormat="1" ht="38.25" hidden="1" thickBot="1">
      <c r="A131" s="157">
        <v>8</v>
      </c>
      <c r="B131" s="102" t="s">
        <v>343</v>
      </c>
      <c r="C131" s="58"/>
      <c r="D131" s="58"/>
      <c r="E131" s="93"/>
    </row>
    <row r="132" spans="1:5" s="76" customFormat="1" ht="38.25" hidden="1" thickBot="1">
      <c r="A132" s="157">
        <v>9</v>
      </c>
      <c r="B132" s="102" t="s">
        <v>344</v>
      </c>
      <c r="C132" s="58"/>
      <c r="D132" s="58"/>
      <c r="E132" s="93"/>
    </row>
    <row r="133" spans="1:5" s="76" customFormat="1" ht="38.25" hidden="1" thickBot="1">
      <c r="A133" s="157">
        <v>10</v>
      </c>
      <c r="B133" s="102" t="s">
        <v>345</v>
      </c>
      <c r="C133" s="58"/>
      <c r="D133" s="58"/>
      <c r="E133" s="93"/>
    </row>
    <row r="134" spans="1:5" s="76" customFormat="1" ht="38.25" hidden="1" thickBot="1">
      <c r="A134" s="157">
        <v>11</v>
      </c>
      <c r="B134" s="102" t="s">
        <v>346</v>
      </c>
      <c r="C134" s="58"/>
      <c r="D134" s="58"/>
      <c r="E134" s="93"/>
    </row>
    <row r="135" spans="1:5" s="76" customFormat="1" ht="27" customHeight="1" hidden="1" thickBot="1">
      <c r="A135" s="157"/>
      <c r="B135" s="58"/>
      <c r="C135" s="58"/>
      <c r="D135" s="58"/>
      <c r="E135" s="93"/>
    </row>
    <row r="136" spans="1:5" s="76" customFormat="1" ht="19.5" hidden="1" thickBot="1">
      <c r="A136" s="157"/>
      <c r="B136" s="58"/>
      <c r="C136" s="58"/>
      <c r="D136" s="58"/>
      <c r="E136" s="93"/>
    </row>
    <row r="137" spans="1:5" s="76" customFormat="1" ht="19.5" hidden="1" thickBot="1">
      <c r="A137" s="157"/>
      <c r="B137" s="81" t="s">
        <v>139</v>
      </c>
      <c r="C137" s="82" t="s">
        <v>140</v>
      </c>
      <c r="D137" s="82" t="s">
        <v>140</v>
      </c>
      <c r="E137" s="84">
        <f>SUM(E124:E136)</f>
        <v>0</v>
      </c>
    </row>
    <row r="138" s="76" customFormat="1" ht="15" hidden="1"/>
    <row r="139" spans="1:5" s="76" customFormat="1" ht="37.5" customHeight="1" hidden="1" thickBot="1">
      <c r="A139" s="475" t="s">
        <v>371</v>
      </c>
      <c r="B139" s="475"/>
      <c r="C139" s="475"/>
      <c r="D139" s="475"/>
      <c r="E139" s="475"/>
    </row>
    <row r="140" s="76" customFormat="1" ht="18.75" hidden="1">
      <c r="A140" s="91"/>
    </row>
    <row r="141" spans="1:4" s="76" customFormat="1" ht="38.25" hidden="1" thickBot="1">
      <c r="A141" s="78" t="s">
        <v>0</v>
      </c>
      <c r="B141" s="162" t="s">
        <v>141</v>
      </c>
      <c r="C141" s="162" t="s">
        <v>180</v>
      </c>
      <c r="D141" s="162" t="s">
        <v>181</v>
      </c>
    </row>
    <row r="142" spans="1:4" s="76" customFormat="1" ht="19.5" hidden="1" thickBot="1">
      <c r="A142" s="157">
        <v>1</v>
      </c>
      <c r="B142" s="58">
        <v>2</v>
      </c>
      <c r="C142" s="58">
        <v>3</v>
      </c>
      <c r="D142" s="58">
        <v>4</v>
      </c>
    </row>
    <row r="143" spans="1:4" s="76" customFormat="1" ht="24.75" customHeight="1" hidden="1" thickBot="1">
      <c r="A143" s="157">
        <v>1</v>
      </c>
      <c r="B143" s="102" t="s">
        <v>349</v>
      </c>
      <c r="C143" s="58"/>
      <c r="D143" s="93"/>
    </row>
    <row r="144" spans="1:4" s="76" customFormat="1" ht="24.75" customHeight="1" hidden="1" thickBot="1">
      <c r="A144" s="157">
        <v>2</v>
      </c>
      <c r="B144" s="102" t="s">
        <v>372</v>
      </c>
      <c r="C144" s="58"/>
      <c r="D144" s="93"/>
    </row>
    <row r="145" spans="1:4" s="76" customFormat="1" ht="62.25" customHeight="1" hidden="1" thickBot="1">
      <c r="A145" s="157">
        <v>3</v>
      </c>
      <c r="B145" s="102" t="s">
        <v>351</v>
      </c>
      <c r="C145" s="58"/>
      <c r="D145" s="93"/>
    </row>
    <row r="146" spans="1:4" s="76" customFormat="1" ht="24.75" customHeight="1" hidden="1" thickBot="1">
      <c r="A146" s="157">
        <v>4</v>
      </c>
      <c r="B146" s="102" t="s">
        <v>352</v>
      </c>
      <c r="C146" s="58"/>
      <c r="D146" s="93"/>
    </row>
    <row r="147" spans="1:4" s="76" customFormat="1" ht="24.75" customHeight="1" hidden="1" thickBot="1">
      <c r="A147" s="157"/>
      <c r="B147" s="58"/>
      <c r="C147" s="58"/>
      <c r="D147" s="93"/>
    </row>
    <row r="148" spans="1:4" s="76" customFormat="1" ht="19.5" hidden="1" thickBot="1">
      <c r="A148" s="157"/>
      <c r="B148" s="58"/>
      <c r="C148" s="58"/>
      <c r="D148" s="93"/>
    </row>
    <row r="149" spans="1:4" s="76" customFormat="1" ht="19.5" hidden="1" thickBot="1">
      <c r="A149" s="157"/>
      <c r="B149" s="58"/>
      <c r="C149" s="58"/>
      <c r="D149" s="93"/>
    </row>
    <row r="150" spans="1:4" s="76" customFormat="1" ht="19.5" hidden="1" thickBot="1">
      <c r="A150" s="157"/>
      <c r="B150" s="81" t="s">
        <v>139</v>
      </c>
      <c r="C150" s="82" t="s">
        <v>140</v>
      </c>
      <c r="D150" s="84">
        <f>D149+D148+D147+D146+D145+D144+D143</f>
        <v>0</v>
      </c>
    </row>
    <row r="151" s="76" customFormat="1" ht="15"/>
    <row r="152" spans="1:10" s="76" customFormat="1" ht="51" customHeight="1">
      <c r="A152" s="475" t="s">
        <v>373</v>
      </c>
      <c r="B152" s="475"/>
      <c r="C152" s="475"/>
      <c r="D152" s="475"/>
      <c r="E152" s="475"/>
      <c r="F152" s="475"/>
      <c r="G152" s="475"/>
      <c r="H152" s="475"/>
      <c r="I152" s="475"/>
      <c r="J152" s="475"/>
    </row>
    <row r="153" spans="1:7" s="76" customFormat="1" ht="32.25" customHeight="1">
      <c r="A153" s="476" t="s">
        <v>318</v>
      </c>
      <c r="B153" s="476"/>
      <c r="C153" s="476"/>
      <c r="D153" s="476"/>
      <c r="E153" s="476"/>
      <c r="F153" s="476"/>
      <c r="G153" s="476"/>
    </row>
    <row r="154" spans="1:7" s="76" customFormat="1" ht="25.5" customHeight="1">
      <c r="A154" s="476" t="s">
        <v>406</v>
      </c>
      <c r="B154" s="476"/>
      <c r="C154" s="476"/>
      <c r="D154" s="476"/>
      <c r="E154" s="476"/>
      <c r="F154" s="476"/>
      <c r="G154" s="476"/>
    </row>
    <row r="155" s="76" customFormat="1" ht="15.75" thickBot="1"/>
    <row r="156" spans="1:5" s="76" customFormat="1" ht="57" thickBot="1">
      <c r="A156" s="233" t="s">
        <v>0</v>
      </c>
      <c r="B156" s="234" t="s">
        <v>141</v>
      </c>
      <c r="C156" s="234" t="s">
        <v>374</v>
      </c>
      <c r="D156" s="234" t="s">
        <v>182</v>
      </c>
      <c r="E156" s="235" t="s">
        <v>170</v>
      </c>
    </row>
    <row r="157" spans="1:5" s="76" customFormat="1" ht="18.75">
      <c r="A157" s="167">
        <v>1</v>
      </c>
      <c r="B157" s="168">
        <v>2</v>
      </c>
      <c r="C157" s="168">
        <v>3</v>
      </c>
      <c r="D157" s="168">
        <v>4</v>
      </c>
      <c r="E157" s="172">
        <v>5</v>
      </c>
    </row>
    <row r="158" spans="1:5" s="76" customFormat="1" ht="49.5" customHeight="1">
      <c r="A158" s="169">
        <v>1</v>
      </c>
      <c r="B158" s="173" t="s">
        <v>428</v>
      </c>
      <c r="C158" s="166"/>
      <c r="D158" s="261"/>
      <c r="E158" s="262">
        <f>SUM(E159:E160)</f>
        <v>4611778.690909091</v>
      </c>
    </row>
    <row r="159" spans="1:5" s="76" customFormat="1" ht="45.75" customHeight="1">
      <c r="A159" s="259" t="s">
        <v>429</v>
      </c>
      <c r="B159" s="173" t="s">
        <v>375</v>
      </c>
      <c r="C159" s="267">
        <f>18270/11*12</f>
        <v>19930.909090909092</v>
      </c>
      <c r="D159" s="261">
        <v>220.41</v>
      </c>
      <c r="E159" s="262">
        <f>C159*D159</f>
        <v>4392971.672727273</v>
      </c>
    </row>
    <row r="160" spans="1:5" s="76" customFormat="1" ht="57.75" customHeight="1" thickBot="1">
      <c r="A160" s="260" t="s">
        <v>430</v>
      </c>
      <c r="B160" s="174" t="s">
        <v>376</v>
      </c>
      <c r="C160" s="268">
        <f>1820/11*12</f>
        <v>1985.4545454545455</v>
      </c>
      <c r="D160" s="263">
        <f>D159/2</f>
        <v>110.205</v>
      </c>
      <c r="E160" s="264">
        <f>C160*D160</f>
        <v>218807.0181818182</v>
      </c>
    </row>
    <row r="161" spans="1:5" s="76" customFormat="1" ht="50.25" customHeight="1" thickBot="1">
      <c r="A161" s="473" t="s">
        <v>360</v>
      </c>
      <c r="B161" s="474"/>
      <c r="C161" s="177" t="s">
        <v>422</v>
      </c>
      <c r="D161" s="265" t="s">
        <v>422</v>
      </c>
      <c r="E161" s="266">
        <f>E158</f>
        <v>4611778.690909091</v>
      </c>
    </row>
    <row r="165" spans="1:4" s="113" customFormat="1" ht="18.75">
      <c r="A165" s="490" t="s">
        <v>420</v>
      </c>
      <c r="B165" s="490"/>
      <c r="D165" s="113" t="s">
        <v>435</v>
      </c>
    </row>
  </sheetData>
  <sheetProtection/>
  <mergeCells count="39">
    <mergeCell ref="A11:J11"/>
    <mergeCell ref="A13:J13"/>
    <mergeCell ref="A15:J15"/>
    <mergeCell ref="A16:J16"/>
    <mergeCell ref="A18:J18"/>
    <mergeCell ref="A20:A22"/>
    <mergeCell ref="B20:B22"/>
    <mergeCell ref="C20:C22"/>
    <mergeCell ref="D20:G20"/>
    <mergeCell ref="H20:H22"/>
    <mergeCell ref="I20:I22"/>
    <mergeCell ref="J20:J22"/>
    <mergeCell ref="D21:D22"/>
    <mergeCell ref="E21:G21"/>
    <mergeCell ref="A28:B28"/>
    <mergeCell ref="A31:F31"/>
    <mergeCell ref="A38:F38"/>
    <mergeCell ref="A45:E45"/>
    <mergeCell ref="A50:A51"/>
    <mergeCell ref="C50:C51"/>
    <mergeCell ref="D50:D51"/>
    <mergeCell ref="A57:F57"/>
    <mergeCell ref="A139:E139"/>
    <mergeCell ref="A152:J152"/>
    <mergeCell ref="A59:F59"/>
    <mergeCell ref="A60:F60"/>
    <mergeCell ref="A70:G70"/>
    <mergeCell ref="A73:G73"/>
    <mergeCell ref="A74:G74"/>
    <mergeCell ref="A153:G153"/>
    <mergeCell ref="A154:G154"/>
    <mergeCell ref="A165:B165"/>
    <mergeCell ref="A82:I82"/>
    <mergeCell ref="A87:F87"/>
    <mergeCell ref="A94:F94"/>
    <mergeCell ref="A101:F101"/>
    <mergeCell ref="A113:E113"/>
    <mergeCell ref="A120:E120"/>
    <mergeCell ref="A161:B161"/>
  </mergeCells>
  <printOptions/>
  <pageMargins left="0.7" right="0.7" top="0.75" bottom="0.75" header="0.3" footer="0.3"/>
  <pageSetup horizontalDpi="600" verticalDpi="600" orientation="landscape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1"/>
  <sheetViews>
    <sheetView view="pageBreakPreview" zoomScale="60" zoomScalePageLayoutView="0" workbookViewId="0" topLeftCell="A24">
      <selection activeCell="I39" sqref="I39"/>
    </sheetView>
  </sheetViews>
  <sheetFormatPr defaultColWidth="9.140625" defaultRowHeight="15"/>
  <cols>
    <col min="1" max="1" width="9.140625" style="21" customWidth="1"/>
    <col min="2" max="2" width="11.57421875" style="21" customWidth="1"/>
    <col min="3" max="3" width="19.421875" style="21" customWidth="1"/>
    <col min="4" max="4" width="11.8515625" style="21" customWidth="1"/>
    <col min="5" max="5" width="16.140625" style="21" customWidth="1"/>
    <col min="6" max="6" width="8.8515625" style="21" customWidth="1"/>
    <col min="7" max="7" width="9.140625" style="21" customWidth="1"/>
    <col min="8" max="8" width="14.140625" style="21" customWidth="1"/>
    <col min="9" max="9" width="17.28125" style="21" customWidth="1"/>
    <col min="10" max="10" width="12.7109375" style="21" customWidth="1"/>
    <col min="11" max="14" width="9.140625" style="21" customWidth="1"/>
    <col min="15" max="15" width="14.57421875" style="21" customWidth="1"/>
    <col min="16" max="16384" width="9.140625" style="21" customWidth="1"/>
  </cols>
  <sheetData>
    <row r="1" ht="18.75">
      <c r="J1" s="8" t="s">
        <v>190</v>
      </c>
    </row>
    <row r="2" ht="18.75">
      <c r="J2" s="8" t="s">
        <v>120</v>
      </c>
    </row>
    <row r="3" ht="16.5">
      <c r="J3" s="17" t="s">
        <v>121</v>
      </c>
    </row>
    <row r="4" ht="16.5">
      <c r="J4" s="17" t="s">
        <v>122</v>
      </c>
    </row>
    <row r="5" ht="16.5">
      <c r="J5" s="17" t="s">
        <v>123</v>
      </c>
    </row>
    <row r="6" ht="16.5">
      <c r="J6" s="17" t="s">
        <v>124</v>
      </c>
    </row>
    <row r="7" ht="16.5">
      <c r="J7" s="17" t="s">
        <v>125</v>
      </c>
    </row>
    <row r="8" ht="16.5">
      <c r="J8" s="17" t="s">
        <v>126</v>
      </c>
    </row>
    <row r="10" ht="15">
      <c r="J10" s="11" t="s">
        <v>191</v>
      </c>
    </row>
    <row r="11" spans="6:10" ht="15">
      <c r="F11" s="528"/>
      <c r="G11" s="528"/>
      <c r="H11" s="528"/>
      <c r="I11" s="528"/>
      <c r="J11" s="528"/>
    </row>
    <row r="12" spans="4:10" ht="18.75">
      <c r="D12" s="5" t="s">
        <v>216</v>
      </c>
      <c r="E12" s="5"/>
      <c r="F12" s="521" t="s">
        <v>217</v>
      </c>
      <c r="G12" s="521"/>
      <c r="H12" s="521"/>
      <c r="I12" s="521"/>
      <c r="J12" s="521"/>
    </row>
    <row r="13" spans="4:10" ht="24.75" customHeight="1">
      <c r="D13" s="5"/>
      <c r="E13" s="5"/>
      <c r="F13" s="522"/>
      <c r="G13" s="522"/>
      <c r="H13" s="522"/>
      <c r="I13" s="522"/>
      <c r="J13" s="522"/>
    </row>
    <row r="14" spans="6:10" ht="15">
      <c r="F14" s="521" t="s">
        <v>192</v>
      </c>
      <c r="G14" s="521"/>
      <c r="H14" s="521"/>
      <c r="I14" s="521"/>
      <c r="J14" s="521"/>
    </row>
    <row r="15" spans="4:10" ht="19.5" customHeight="1">
      <c r="D15" s="5"/>
      <c r="E15" s="5"/>
      <c r="F15" s="411" t="s">
        <v>193</v>
      </c>
      <c r="G15" s="411"/>
      <c r="H15" s="411"/>
      <c r="I15" s="411"/>
      <c r="J15" s="411"/>
    </row>
    <row r="16" spans="4:10" ht="15">
      <c r="D16" s="20"/>
      <c r="E16" s="20"/>
      <c r="F16" s="523" t="s">
        <v>194</v>
      </c>
      <c r="G16" s="523"/>
      <c r="H16" s="523"/>
      <c r="I16" s="523"/>
      <c r="J16" s="523"/>
    </row>
    <row r="17" spans="4:10" ht="30.75" customHeight="1">
      <c r="D17" s="5"/>
      <c r="E17" s="5"/>
      <c r="F17" s="411" t="s">
        <v>195</v>
      </c>
      <c r="G17" s="411"/>
      <c r="H17" s="411"/>
      <c r="I17" s="411"/>
      <c r="J17" s="411"/>
    </row>
    <row r="18" ht="15">
      <c r="G18" s="22"/>
    </row>
    <row r="19" spans="1:9" ht="15" customHeight="1">
      <c r="A19" s="411" t="s">
        <v>196</v>
      </c>
      <c r="B19" s="411"/>
      <c r="C19" s="411"/>
      <c r="D19" s="411"/>
      <c r="E19" s="411"/>
      <c r="F19" s="411"/>
      <c r="G19" s="411"/>
      <c r="H19" s="411"/>
      <c r="I19" s="411"/>
    </row>
    <row r="20" spans="1:9" ht="22.5" customHeight="1">
      <c r="A20" s="411" t="s">
        <v>197</v>
      </c>
      <c r="B20" s="411"/>
      <c r="C20" s="411"/>
      <c r="D20" s="411"/>
      <c r="E20" s="411"/>
      <c r="F20" s="411"/>
      <c r="G20" s="411"/>
      <c r="H20" s="411"/>
      <c r="I20" s="411"/>
    </row>
    <row r="21" spans="1:9" ht="26.25" customHeight="1">
      <c r="A21" s="411" t="s">
        <v>198</v>
      </c>
      <c r="B21" s="411"/>
      <c r="C21" s="411"/>
      <c r="D21" s="411"/>
      <c r="E21" s="411"/>
      <c r="F21" s="411"/>
      <c r="G21" s="411"/>
      <c r="H21" s="411"/>
      <c r="I21" s="411"/>
    </row>
    <row r="22" ht="15">
      <c r="E22" s="22"/>
    </row>
    <row r="23" ht="15">
      <c r="I23" s="29" t="s">
        <v>199</v>
      </c>
    </row>
    <row r="24" spans="7:9" ht="15">
      <c r="G24" s="516" t="s">
        <v>200</v>
      </c>
      <c r="H24" s="517"/>
      <c r="I24" s="29">
        <v>501016</v>
      </c>
    </row>
    <row r="25" spans="3:9" ht="15">
      <c r="C25" s="509" t="s">
        <v>206</v>
      </c>
      <c r="D25" s="509"/>
      <c r="E25" s="509"/>
      <c r="F25" s="509"/>
      <c r="G25" s="516" t="s">
        <v>33</v>
      </c>
      <c r="H25" s="517"/>
      <c r="I25" s="29"/>
    </row>
    <row r="26" spans="1:9" ht="49.5" customHeight="1">
      <c r="A26" s="512" t="s">
        <v>207</v>
      </c>
      <c r="B26" s="512"/>
      <c r="C26" s="512"/>
      <c r="D26" s="509" t="s">
        <v>208</v>
      </c>
      <c r="E26" s="509"/>
      <c r="F26" s="509"/>
      <c r="G26" s="516" t="s">
        <v>34</v>
      </c>
      <c r="H26" s="517"/>
      <c r="I26" s="29"/>
    </row>
    <row r="27" spans="1:9" ht="15">
      <c r="A27" s="24"/>
      <c r="B27" s="24"/>
      <c r="C27" s="24"/>
      <c r="D27" s="25"/>
      <c r="E27" s="25"/>
      <c r="F27" s="25"/>
      <c r="G27" s="26"/>
      <c r="H27" s="27"/>
      <c r="I27" s="529"/>
    </row>
    <row r="28" spans="3:9" ht="36.75" customHeight="1">
      <c r="C28" s="509" t="s">
        <v>209</v>
      </c>
      <c r="D28" s="524"/>
      <c r="E28" s="23"/>
      <c r="G28" s="516" t="s">
        <v>201</v>
      </c>
      <c r="H28" s="517"/>
      <c r="I28" s="530"/>
    </row>
    <row r="29" spans="1:9" ht="26.25" customHeight="1">
      <c r="A29" s="512" t="s">
        <v>210</v>
      </c>
      <c r="B29" s="512"/>
      <c r="C29" s="512"/>
      <c r="D29" s="509" t="s">
        <v>208</v>
      </c>
      <c r="E29" s="509"/>
      <c r="F29" s="509"/>
      <c r="G29" s="516" t="s">
        <v>202</v>
      </c>
      <c r="H29" s="517"/>
      <c r="I29" s="29"/>
    </row>
    <row r="30" spans="7:9" ht="15">
      <c r="G30" s="516"/>
      <c r="H30" s="517"/>
      <c r="I30" s="29"/>
    </row>
    <row r="31" spans="1:9" ht="48" customHeight="1">
      <c r="A31" s="512" t="s">
        <v>211</v>
      </c>
      <c r="B31" s="512"/>
      <c r="C31" s="512"/>
      <c r="D31" s="509" t="s">
        <v>208</v>
      </c>
      <c r="E31" s="509"/>
      <c r="F31" s="509"/>
      <c r="G31" s="516" t="s">
        <v>203</v>
      </c>
      <c r="H31" s="517"/>
      <c r="I31" s="29"/>
    </row>
    <row r="32" spans="1:9" ht="51" customHeight="1">
      <c r="A32" s="512" t="s">
        <v>212</v>
      </c>
      <c r="B32" s="512"/>
      <c r="C32" s="512"/>
      <c r="D32" s="509" t="s">
        <v>208</v>
      </c>
      <c r="E32" s="509"/>
      <c r="F32" s="509"/>
      <c r="G32" s="516" t="s">
        <v>34</v>
      </c>
      <c r="H32" s="517"/>
      <c r="I32" s="29"/>
    </row>
    <row r="33" spans="1:9" ht="27" customHeight="1">
      <c r="A33" s="21" t="s">
        <v>213</v>
      </c>
      <c r="G33" s="516" t="s">
        <v>204</v>
      </c>
      <c r="H33" s="517"/>
      <c r="I33" s="29"/>
    </row>
    <row r="34" spans="2:9" ht="27" customHeight="1">
      <c r="B34" s="526"/>
      <c r="C34" s="526"/>
      <c r="D34" s="526"/>
      <c r="E34" s="526"/>
      <c r="G34" s="26"/>
      <c r="H34" s="27"/>
      <c r="I34" s="525"/>
    </row>
    <row r="35" spans="2:9" ht="15">
      <c r="B35" s="509" t="s">
        <v>214</v>
      </c>
      <c r="C35" s="509"/>
      <c r="D35" s="509"/>
      <c r="E35" s="509"/>
      <c r="G35" s="516" t="s">
        <v>205</v>
      </c>
      <c r="H35" s="517"/>
      <c r="I35" s="525"/>
    </row>
    <row r="36" spans="7:9" ht="15">
      <c r="G36" s="518"/>
      <c r="H36" s="519"/>
      <c r="I36" s="28"/>
    </row>
    <row r="37" spans="4:9" ht="15">
      <c r="D37" s="518" t="s">
        <v>215</v>
      </c>
      <c r="E37" s="518"/>
      <c r="F37" s="518"/>
      <c r="G37" s="527"/>
      <c r="H37" s="520"/>
      <c r="I37" s="520"/>
    </row>
    <row r="39" ht="15.75" thickBot="1"/>
    <row r="40" spans="1:10" ht="186.75" customHeight="1" thickBot="1">
      <c r="A40" s="482" t="s">
        <v>218</v>
      </c>
      <c r="B40" s="482" t="s">
        <v>219</v>
      </c>
      <c r="C40" s="482" t="s">
        <v>43</v>
      </c>
      <c r="D40" s="482" t="s">
        <v>220</v>
      </c>
      <c r="E40" s="485" t="s">
        <v>221</v>
      </c>
      <c r="F40" s="487"/>
      <c r="G40" s="485" t="s">
        <v>222</v>
      </c>
      <c r="H40" s="487"/>
      <c r="I40" s="485" t="s">
        <v>223</v>
      </c>
      <c r="J40" s="487"/>
    </row>
    <row r="41" spans="1:10" ht="19.5" thickBot="1">
      <c r="A41" s="484"/>
      <c r="B41" s="484"/>
      <c r="C41" s="484"/>
      <c r="D41" s="484"/>
      <c r="E41" s="15" t="s">
        <v>224</v>
      </c>
      <c r="F41" s="15" t="s">
        <v>225</v>
      </c>
      <c r="G41" s="15" t="s">
        <v>224</v>
      </c>
      <c r="H41" s="15" t="s">
        <v>225</v>
      </c>
      <c r="I41" s="15" t="s">
        <v>226</v>
      </c>
      <c r="J41" s="15" t="s">
        <v>227</v>
      </c>
    </row>
    <row r="42" spans="1:10" ht="19.5" thickBot="1">
      <c r="A42" s="4">
        <v>1</v>
      </c>
      <c r="B42" s="15">
        <v>2</v>
      </c>
      <c r="C42" s="15">
        <v>3</v>
      </c>
      <c r="D42" s="15">
        <v>4</v>
      </c>
      <c r="E42" s="15">
        <v>5</v>
      </c>
      <c r="F42" s="15">
        <v>6</v>
      </c>
      <c r="G42" s="15">
        <v>7</v>
      </c>
      <c r="H42" s="15">
        <v>8</v>
      </c>
      <c r="I42" s="15">
        <v>9</v>
      </c>
      <c r="J42" s="15">
        <v>10</v>
      </c>
    </row>
    <row r="43" spans="1:10" ht="19.5" thickBot="1">
      <c r="A43" s="3"/>
      <c r="B43" s="1"/>
      <c r="C43" s="1"/>
      <c r="D43" s="1"/>
      <c r="E43" s="1"/>
      <c r="F43" s="1"/>
      <c r="G43" s="1"/>
      <c r="H43" s="1"/>
      <c r="I43" s="1"/>
      <c r="J43" s="1"/>
    </row>
    <row r="44" spans="1:10" ht="19.5" thickBot="1">
      <c r="A44" s="3"/>
      <c r="B44" s="1"/>
      <c r="C44" s="1"/>
      <c r="D44" s="1"/>
      <c r="E44" s="1"/>
      <c r="F44" s="1"/>
      <c r="G44" s="1"/>
      <c r="H44" s="1"/>
      <c r="I44" s="1"/>
      <c r="J44" s="1"/>
    </row>
    <row r="45" spans="1:10" ht="19.5" thickBot="1">
      <c r="A45" s="3"/>
      <c r="B45" s="1"/>
      <c r="C45" s="30"/>
      <c r="D45" s="32"/>
      <c r="E45" s="31" t="s">
        <v>45</v>
      </c>
      <c r="F45" s="1"/>
      <c r="G45" s="15" t="s">
        <v>52</v>
      </c>
      <c r="H45" s="1"/>
      <c r="I45" s="1"/>
      <c r="J45" s="1"/>
    </row>
    <row r="47" spans="1:4" ht="18.75">
      <c r="A47" s="515" t="s">
        <v>229</v>
      </c>
      <c r="B47" s="515"/>
      <c r="C47" s="515" t="s">
        <v>230</v>
      </c>
      <c r="D47" s="515"/>
    </row>
    <row r="48" spans="1:7" ht="18.75">
      <c r="A48" s="515" t="s">
        <v>231</v>
      </c>
      <c r="B48" s="515"/>
      <c r="C48" s="511" t="s">
        <v>238</v>
      </c>
      <c r="D48" s="511"/>
      <c r="E48" s="36"/>
      <c r="F48" s="36"/>
      <c r="G48" s="36"/>
    </row>
    <row r="49" spans="1:7" ht="18.75">
      <c r="A49" s="515" t="s">
        <v>232</v>
      </c>
      <c r="B49" s="515"/>
      <c r="C49" s="511" t="s">
        <v>233</v>
      </c>
      <c r="D49" s="511"/>
      <c r="E49" s="511"/>
      <c r="F49" s="511"/>
      <c r="G49" s="511"/>
    </row>
    <row r="50" spans="1:7" ht="15">
      <c r="A50" s="22"/>
      <c r="B50"/>
      <c r="C50" s="514" t="s">
        <v>234</v>
      </c>
      <c r="D50" s="514"/>
      <c r="E50" s="514"/>
      <c r="F50" s="514"/>
      <c r="G50" s="514"/>
    </row>
    <row r="51" spans="1:2" ht="15">
      <c r="A51" s="22"/>
      <c r="B51"/>
    </row>
    <row r="52" spans="1:16" ht="35.25" customHeight="1">
      <c r="A52" s="402" t="s">
        <v>236</v>
      </c>
      <c r="B52" s="402"/>
      <c r="C52" s="511" t="s">
        <v>233</v>
      </c>
      <c r="D52" s="511"/>
      <c r="E52" s="511"/>
      <c r="F52" s="511"/>
      <c r="G52" s="511"/>
      <c r="H52" s="512" t="s">
        <v>228</v>
      </c>
      <c r="I52" s="512"/>
      <c r="J52" s="512"/>
      <c r="K52" s="512"/>
      <c r="L52" s="512"/>
      <c r="M52" s="512"/>
      <c r="N52" s="512"/>
      <c r="O52" s="512"/>
      <c r="P52" s="512"/>
    </row>
    <row r="53" spans="1:7" ht="18.75">
      <c r="A53" s="33" t="s">
        <v>235</v>
      </c>
      <c r="B53" s="19"/>
      <c r="C53" s="514" t="s">
        <v>234</v>
      </c>
      <c r="D53" s="514"/>
      <c r="E53" s="514"/>
      <c r="F53" s="514"/>
      <c r="G53" s="514"/>
    </row>
    <row r="54" spans="1:16" ht="75" customHeight="1">
      <c r="A54" s="402" t="s">
        <v>237</v>
      </c>
      <c r="B54" s="402"/>
      <c r="C54" s="511" t="s">
        <v>239</v>
      </c>
      <c r="D54" s="511"/>
      <c r="E54" s="511"/>
      <c r="F54" s="511"/>
      <c r="G54" s="511"/>
      <c r="H54" s="510" t="s">
        <v>237</v>
      </c>
      <c r="I54" s="510"/>
      <c r="J54" s="509" t="s">
        <v>239</v>
      </c>
      <c r="K54" s="509"/>
      <c r="L54" s="509"/>
      <c r="M54" s="509"/>
      <c r="N54" s="509"/>
      <c r="O54" s="509"/>
      <c r="P54" s="509"/>
    </row>
    <row r="55" spans="1:10" ht="18.75">
      <c r="A55" s="33"/>
      <c r="B55" s="19"/>
      <c r="C55" s="513" t="s">
        <v>240</v>
      </c>
      <c r="D55" s="513"/>
      <c r="E55" s="513"/>
      <c r="F55" s="513"/>
      <c r="G55" s="513"/>
      <c r="J55" s="21" t="s">
        <v>241</v>
      </c>
    </row>
    <row r="56" spans="1:2" ht="18.75">
      <c r="A56" s="19"/>
      <c r="B56" s="34"/>
    </row>
    <row r="57" spans="1:11" ht="18.75">
      <c r="A57" s="402" t="s">
        <v>242</v>
      </c>
      <c r="B57" s="402"/>
      <c r="C57" s="402"/>
      <c r="D57" s="402"/>
      <c r="H57" s="511" t="s">
        <v>242</v>
      </c>
      <c r="I57" s="511"/>
      <c r="J57" s="511"/>
      <c r="K57" s="511"/>
    </row>
    <row r="58" spans="1:2" ht="18.75">
      <c r="A58" s="34"/>
      <c r="B58" s="19"/>
    </row>
    <row r="59" spans="1:2" ht="15">
      <c r="A59" s="34"/>
      <c r="B59" s="35"/>
    </row>
    <row r="60" spans="1:2" ht="18.75">
      <c r="A60" s="19"/>
      <c r="B60" s="35"/>
    </row>
    <row r="61" spans="1:2" ht="15">
      <c r="A61" s="34"/>
      <c r="B61" s="35"/>
    </row>
  </sheetData>
  <sheetProtection/>
  <mergeCells count="62">
    <mergeCell ref="D32:F32"/>
    <mergeCell ref="F12:J12"/>
    <mergeCell ref="F11:J11"/>
    <mergeCell ref="G29:H29"/>
    <mergeCell ref="G30:H30"/>
    <mergeCell ref="G31:H31"/>
    <mergeCell ref="G32:H32"/>
    <mergeCell ref="I27:I28"/>
    <mergeCell ref="A19:I19"/>
    <mergeCell ref="A20:I20"/>
    <mergeCell ref="I34:I35"/>
    <mergeCell ref="B35:E35"/>
    <mergeCell ref="B34:E34"/>
    <mergeCell ref="D37:G37"/>
    <mergeCell ref="G33:H33"/>
    <mergeCell ref="G24:H24"/>
    <mergeCell ref="G25:H25"/>
    <mergeCell ref="G26:H26"/>
    <mergeCell ref="C25:F25"/>
    <mergeCell ref="A26:C26"/>
    <mergeCell ref="F14:J14"/>
    <mergeCell ref="F13:J13"/>
    <mergeCell ref="F15:J15"/>
    <mergeCell ref="F16:J16"/>
    <mergeCell ref="F17:J17"/>
    <mergeCell ref="A31:C31"/>
    <mergeCell ref="D26:F26"/>
    <mergeCell ref="C28:D28"/>
    <mergeCell ref="G28:H28"/>
    <mergeCell ref="A21:I21"/>
    <mergeCell ref="D40:D41"/>
    <mergeCell ref="E40:F40"/>
    <mergeCell ref="G40:H40"/>
    <mergeCell ref="A29:C29"/>
    <mergeCell ref="D29:F29"/>
    <mergeCell ref="D31:F31"/>
    <mergeCell ref="A32:C32"/>
    <mergeCell ref="G35:H35"/>
    <mergeCell ref="G36:H36"/>
    <mergeCell ref="H37:I37"/>
    <mergeCell ref="I40:J40"/>
    <mergeCell ref="A48:B48"/>
    <mergeCell ref="A47:B47"/>
    <mergeCell ref="A49:B49"/>
    <mergeCell ref="C49:G49"/>
    <mergeCell ref="C48:D48"/>
    <mergeCell ref="C47:D47"/>
    <mergeCell ref="A40:A41"/>
    <mergeCell ref="B40:B41"/>
    <mergeCell ref="C40:C41"/>
    <mergeCell ref="C50:G50"/>
    <mergeCell ref="A52:B52"/>
    <mergeCell ref="C52:G52"/>
    <mergeCell ref="C53:G53"/>
    <mergeCell ref="A54:B54"/>
    <mergeCell ref="C54:G54"/>
    <mergeCell ref="J54:P54"/>
    <mergeCell ref="H54:I54"/>
    <mergeCell ref="A57:D57"/>
    <mergeCell ref="H57:K57"/>
    <mergeCell ref="H52:P52"/>
    <mergeCell ref="C55:G55"/>
  </mergeCells>
  <printOptions/>
  <pageMargins left="0.7" right="0.7" top="0.75" bottom="0.75" header="0.3" footer="0.3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3:PAR1206"/>
  <sheetViews>
    <sheetView view="pageBreakPreview" zoomScale="60" zoomScalePageLayoutView="0" workbookViewId="0" topLeftCell="A43">
      <selection activeCell="O19" sqref="O19"/>
    </sheetView>
  </sheetViews>
  <sheetFormatPr defaultColWidth="28.8515625" defaultRowHeight="15"/>
  <cols>
    <col min="1" max="1" width="38.8515625" style="12" customWidth="1"/>
    <col min="2" max="2" width="9.57421875" style="12" customWidth="1"/>
    <col min="3" max="3" width="27.7109375" style="12" customWidth="1"/>
    <col min="4" max="4" width="32.140625" style="12" customWidth="1"/>
    <col min="5" max="5" width="21.57421875" style="12" customWidth="1"/>
    <col min="6" max="7" width="18.57421875" style="12" customWidth="1"/>
    <col min="8" max="8" width="21.140625" style="12" customWidth="1"/>
    <col min="9" max="9" width="19.8515625" style="12" customWidth="1"/>
    <col min="10" max="10" width="15.421875" style="12" customWidth="1"/>
    <col min="11" max="11" width="16.8515625" style="12" customWidth="1"/>
    <col min="12" max="12" width="23.8515625" style="12" customWidth="1"/>
    <col min="13" max="13" width="36.421875" style="12" customWidth="1"/>
    <col min="14" max="16384" width="28.8515625" style="12" customWidth="1"/>
  </cols>
  <sheetData>
    <row r="1" ht="15"/>
    <row r="2" ht="15"/>
    <row r="3" spans="1:9" ht="19.5" customHeight="1">
      <c r="A3" s="443" t="s">
        <v>93</v>
      </c>
      <c r="B3" s="391"/>
      <c r="C3" s="391"/>
      <c r="D3" s="391"/>
      <c r="E3" s="391"/>
      <c r="F3" s="391"/>
      <c r="G3" s="391"/>
      <c r="H3" s="391"/>
      <c r="I3" s="391"/>
    </row>
    <row r="4" spans="1:9" ht="18.75">
      <c r="A4" s="444" t="s">
        <v>438</v>
      </c>
      <c r="B4" s="411"/>
      <c r="C4" s="411"/>
      <c r="D4" s="411"/>
      <c r="E4" s="411"/>
      <c r="F4" s="411"/>
      <c r="G4" s="411"/>
      <c r="H4" s="411"/>
      <c r="I4" s="411"/>
    </row>
    <row r="5" ht="15.75" thickBot="1">
      <c r="I5" s="12" t="s">
        <v>94</v>
      </c>
    </row>
    <row r="6" spans="1:9" ht="19.5" customHeight="1">
      <c r="A6" s="420" t="s">
        <v>41</v>
      </c>
      <c r="B6" s="423" t="s">
        <v>42</v>
      </c>
      <c r="C6" s="423" t="s">
        <v>43</v>
      </c>
      <c r="D6" s="423" t="s">
        <v>44</v>
      </c>
      <c r="E6" s="423"/>
      <c r="F6" s="423"/>
      <c r="G6" s="423"/>
      <c r="H6" s="423"/>
      <c r="I6" s="426"/>
    </row>
    <row r="7" spans="1:14" ht="18.75">
      <c r="A7" s="421"/>
      <c r="B7" s="424"/>
      <c r="C7" s="424"/>
      <c r="D7" s="424" t="s">
        <v>45</v>
      </c>
      <c r="E7" s="424" t="s">
        <v>22</v>
      </c>
      <c r="F7" s="424"/>
      <c r="G7" s="424"/>
      <c r="H7" s="424"/>
      <c r="I7" s="427"/>
      <c r="N7" s="12" t="s">
        <v>447</v>
      </c>
    </row>
    <row r="8" spans="1:16" ht="100.5" customHeight="1">
      <c r="A8" s="421"/>
      <c r="B8" s="424"/>
      <c r="C8" s="424"/>
      <c r="D8" s="424"/>
      <c r="E8" s="424" t="s">
        <v>46</v>
      </c>
      <c r="F8" s="428" t="s">
        <v>47</v>
      </c>
      <c r="G8" s="424" t="s">
        <v>48</v>
      </c>
      <c r="H8" s="424" t="s">
        <v>49</v>
      </c>
      <c r="I8" s="427"/>
      <c r="N8" s="372">
        <f>40560197-618672</f>
        <v>39941525</v>
      </c>
      <c r="O8" s="372">
        <v>1230000</v>
      </c>
      <c r="P8" s="372">
        <v>4611313.14</v>
      </c>
    </row>
    <row r="9" spans="1:16" ht="45" customHeight="1" thickBot="1">
      <c r="A9" s="422"/>
      <c r="B9" s="425"/>
      <c r="C9" s="425"/>
      <c r="D9" s="425"/>
      <c r="E9" s="425"/>
      <c r="F9" s="429"/>
      <c r="G9" s="425"/>
      <c r="H9" s="236" t="s">
        <v>45</v>
      </c>
      <c r="I9" s="303" t="s">
        <v>50</v>
      </c>
      <c r="N9" s="372">
        <f>N8-E12</f>
        <v>0</v>
      </c>
      <c r="O9" s="372">
        <f>F12-O8</f>
        <v>0</v>
      </c>
      <c r="P9" s="372">
        <f>P8-H12</f>
        <v>-0.000909091904759407</v>
      </c>
    </row>
    <row r="10" spans="1:16" ht="18.75">
      <c r="A10" s="274">
        <v>1</v>
      </c>
      <c r="B10" s="275">
        <v>2</v>
      </c>
      <c r="C10" s="275">
        <v>3</v>
      </c>
      <c r="D10" s="275">
        <v>4</v>
      </c>
      <c r="E10" s="275">
        <v>5</v>
      </c>
      <c r="F10" s="275">
        <v>6</v>
      </c>
      <c r="G10" s="275">
        <v>7</v>
      </c>
      <c r="H10" s="275">
        <v>8</v>
      </c>
      <c r="I10" s="276">
        <v>9</v>
      </c>
      <c r="N10" s="372"/>
      <c r="O10" s="372"/>
      <c r="P10" s="372"/>
    </row>
    <row r="11" spans="1:16" s="50" customFormat="1" ht="48.75" customHeight="1">
      <c r="A11" s="286" t="s">
        <v>51</v>
      </c>
      <c r="B11" s="279" t="s">
        <v>245</v>
      </c>
      <c r="C11" s="280" t="s">
        <v>52</v>
      </c>
      <c r="D11" s="281">
        <f>E11+F11+G11+H11</f>
        <v>0</v>
      </c>
      <c r="E11" s="281">
        <v>0</v>
      </c>
      <c r="F11" s="281">
        <v>0</v>
      </c>
      <c r="G11" s="281">
        <v>0</v>
      </c>
      <c r="H11" s="281">
        <v>0</v>
      </c>
      <c r="I11" s="287">
        <v>0</v>
      </c>
      <c r="M11" s="50" t="s">
        <v>251</v>
      </c>
      <c r="N11" s="346">
        <f>E12-E27+E11</f>
        <v>-528177.7653267533</v>
      </c>
      <c r="O11" s="346">
        <f>F12-F27</f>
        <v>0</v>
      </c>
      <c r="P11" s="346">
        <f>H12-H27+H11</f>
        <v>-40961.69000000041</v>
      </c>
    </row>
    <row r="12" spans="1:16" s="50" customFormat="1" ht="47.25" customHeight="1">
      <c r="A12" s="286" t="s">
        <v>53</v>
      </c>
      <c r="B12" s="279" t="s">
        <v>246</v>
      </c>
      <c r="C12" s="280" t="s">
        <v>52</v>
      </c>
      <c r="D12" s="281">
        <f>D13+D17+D20+D25+D26</f>
        <v>45782838.14090909</v>
      </c>
      <c r="E12" s="281">
        <f>E17</f>
        <v>39941525</v>
      </c>
      <c r="F12" s="281">
        <f>F25</f>
        <v>1230000</v>
      </c>
      <c r="G12" s="281">
        <f>G25</f>
        <v>0</v>
      </c>
      <c r="H12" s="281">
        <f>H13+H17+H20+H23+H24+H26</f>
        <v>4611313.140909092</v>
      </c>
      <c r="I12" s="287">
        <v>0</v>
      </c>
      <c r="N12" s="346">
        <v>528177.77</v>
      </c>
      <c r="O12" s="346">
        <v>0</v>
      </c>
      <c r="P12" s="346">
        <v>40961.69</v>
      </c>
    </row>
    <row r="13" spans="1:16" s="49" customFormat="1" ht="18.75" customHeight="1">
      <c r="A13" s="445" t="s">
        <v>252</v>
      </c>
      <c r="B13" s="430" t="s">
        <v>247</v>
      </c>
      <c r="C13" s="431">
        <v>120</v>
      </c>
      <c r="D13" s="432">
        <f>D15</f>
        <v>0</v>
      </c>
      <c r="E13" s="432" t="s">
        <v>52</v>
      </c>
      <c r="F13" s="432" t="s">
        <v>52</v>
      </c>
      <c r="G13" s="432" t="s">
        <v>52</v>
      </c>
      <c r="H13" s="432">
        <f>H15</f>
        <v>0</v>
      </c>
      <c r="I13" s="433" t="s">
        <v>52</v>
      </c>
      <c r="M13" s="442" t="s">
        <v>253</v>
      </c>
      <c r="N13" s="111"/>
      <c r="O13" s="111"/>
      <c r="P13" s="111"/>
    </row>
    <row r="14" spans="1:16" s="49" customFormat="1" ht="30.75" customHeight="1">
      <c r="A14" s="445"/>
      <c r="B14" s="430"/>
      <c r="C14" s="431"/>
      <c r="D14" s="432"/>
      <c r="E14" s="432"/>
      <c r="F14" s="432"/>
      <c r="G14" s="432"/>
      <c r="H14" s="432"/>
      <c r="I14" s="433"/>
      <c r="M14" s="442"/>
      <c r="N14" s="111">
        <f>N11+N12</f>
        <v>0.004673246759921312</v>
      </c>
      <c r="O14" s="111">
        <f>O11+O12</f>
        <v>0</v>
      </c>
      <c r="P14" s="111">
        <f>P11+P12</f>
        <v>-4.0745362639427185E-10</v>
      </c>
    </row>
    <row r="15" spans="1:13" ht="18.75" customHeight="1">
      <c r="A15" s="304" t="s">
        <v>4</v>
      </c>
      <c r="B15" s="434" t="s">
        <v>248</v>
      </c>
      <c r="C15" s="435">
        <v>120</v>
      </c>
      <c r="D15" s="436">
        <f>H15</f>
        <v>0</v>
      </c>
      <c r="E15" s="436" t="s">
        <v>52</v>
      </c>
      <c r="F15" s="436" t="s">
        <v>52</v>
      </c>
      <c r="G15" s="436" t="s">
        <v>52</v>
      </c>
      <c r="H15" s="436">
        <v>0</v>
      </c>
      <c r="I15" s="437" t="s">
        <v>52</v>
      </c>
      <c r="M15" s="442"/>
    </row>
    <row r="16" spans="1:13" ht="145.5" customHeight="1">
      <c r="A16" s="304" t="s">
        <v>54</v>
      </c>
      <c r="B16" s="434"/>
      <c r="C16" s="435"/>
      <c r="D16" s="436"/>
      <c r="E16" s="436"/>
      <c r="F16" s="436"/>
      <c r="G16" s="436"/>
      <c r="H16" s="436"/>
      <c r="I16" s="437"/>
      <c r="M16" s="442"/>
    </row>
    <row r="17" spans="1:14" s="49" customFormat="1" ht="89.25" customHeight="1">
      <c r="A17" s="305" t="s">
        <v>55</v>
      </c>
      <c r="B17" s="306" t="s">
        <v>249</v>
      </c>
      <c r="C17" s="307">
        <v>130</v>
      </c>
      <c r="D17" s="308">
        <f>D18</f>
        <v>39941525</v>
      </c>
      <c r="E17" s="308">
        <f>E18</f>
        <v>39941525</v>
      </c>
      <c r="F17" s="308" t="s">
        <v>52</v>
      </c>
      <c r="G17" s="308" t="s">
        <v>52</v>
      </c>
      <c r="H17" s="308">
        <f>H18</f>
        <v>0</v>
      </c>
      <c r="I17" s="309">
        <f>I18</f>
        <v>0</v>
      </c>
      <c r="M17" s="49" t="s">
        <v>254</v>
      </c>
      <c r="N17" s="111"/>
    </row>
    <row r="18" spans="1:9" s="105" customFormat="1" ht="18.75">
      <c r="A18" s="304" t="s">
        <v>56</v>
      </c>
      <c r="B18" s="434" t="s">
        <v>250</v>
      </c>
      <c r="C18" s="435">
        <v>130</v>
      </c>
      <c r="D18" s="436">
        <f>E18+H18</f>
        <v>39941525</v>
      </c>
      <c r="E18" s="436">
        <f>40560197-618672</f>
        <v>39941525</v>
      </c>
      <c r="F18" s="436" t="s">
        <v>52</v>
      </c>
      <c r="G18" s="436" t="s">
        <v>52</v>
      </c>
      <c r="H18" s="436">
        <v>0</v>
      </c>
      <c r="I18" s="437">
        <v>0</v>
      </c>
    </row>
    <row r="19" spans="1:9" s="105" customFormat="1" ht="75">
      <c r="A19" s="304" t="s">
        <v>57</v>
      </c>
      <c r="B19" s="434"/>
      <c r="C19" s="435"/>
      <c r="D19" s="436"/>
      <c r="E19" s="436"/>
      <c r="F19" s="436"/>
      <c r="G19" s="436"/>
      <c r="H19" s="436"/>
      <c r="I19" s="437"/>
    </row>
    <row r="20" spans="1:9" s="49" customFormat="1" ht="56.25">
      <c r="A20" s="305" t="s">
        <v>58</v>
      </c>
      <c r="B20" s="306" t="s">
        <v>255</v>
      </c>
      <c r="C20" s="307">
        <v>130</v>
      </c>
      <c r="D20" s="308">
        <f>D21+D23+D24</f>
        <v>4611313.140909092</v>
      </c>
      <c r="E20" s="308" t="s">
        <v>52</v>
      </c>
      <c r="F20" s="308" t="s">
        <v>52</v>
      </c>
      <c r="G20" s="308" t="s">
        <v>52</v>
      </c>
      <c r="H20" s="308">
        <f>H21</f>
        <v>0</v>
      </c>
      <c r="I20" s="309">
        <v>0</v>
      </c>
    </row>
    <row r="21" spans="1:9" s="105" customFormat="1" ht="18.75">
      <c r="A21" s="304" t="s">
        <v>22</v>
      </c>
      <c r="B21" s="434" t="s">
        <v>256</v>
      </c>
      <c r="C21" s="435">
        <v>130</v>
      </c>
      <c r="D21" s="436">
        <f>H21</f>
        <v>0</v>
      </c>
      <c r="E21" s="436" t="s">
        <v>52</v>
      </c>
      <c r="F21" s="436" t="s">
        <v>52</v>
      </c>
      <c r="G21" s="436" t="s">
        <v>52</v>
      </c>
      <c r="H21" s="436">
        <v>0</v>
      </c>
      <c r="I21" s="437">
        <v>0</v>
      </c>
    </row>
    <row r="22" spans="1:9" s="105" customFormat="1" ht="37.5">
      <c r="A22" s="304" t="s">
        <v>59</v>
      </c>
      <c r="B22" s="434"/>
      <c r="C22" s="435"/>
      <c r="D22" s="436"/>
      <c r="E22" s="436"/>
      <c r="F22" s="436"/>
      <c r="G22" s="436"/>
      <c r="H22" s="436"/>
      <c r="I22" s="437"/>
    </row>
    <row r="23" spans="1:9" s="105" customFormat="1" ht="37.5">
      <c r="A23" s="304" t="s">
        <v>60</v>
      </c>
      <c r="B23" s="310" t="s">
        <v>257</v>
      </c>
      <c r="C23" s="197">
        <v>130</v>
      </c>
      <c r="D23" s="106">
        <f>H23</f>
        <v>4611313.140909092</v>
      </c>
      <c r="E23" s="106" t="s">
        <v>52</v>
      </c>
      <c r="F23" s="106" t="s">
        <v>52</v>
      </c>
      <c r="G23" s="106" t="s">
        <v>52</v>
      </c>
      <c r="H23" s="106">
        <f>'Раздел II обоснование ПДД'!E161</f>
        <v>4611313.140909092</v>
      </c>
      <c r="I23" s="198">
        <v>0</v>
      </c>
    </row>
    <row r="24" spans="1:9" s="105" customFormat="1" ht="56.25">
      <c r="A24" s="304" t="s">
        <v>61</v>
      </c>
      <c r="B24" s="310" t="s">
        <v>258</v>
      </c>
      <c r="C24" s="197">
        <v>140</v>
      </c>
      <c r="D24" s="106">
        <f>H24</f>
        <v>0</v>
      </c>
      <c r="E24" s="106" t="s">
        <v>52</v>
      </c>
      <c r="F24" s="106" t="s">
        <v>52</v>
      </c>
      <c r="G24" s="106" t="s">
        <v>52</v>
      </c>
      <c r="H24" s="106">
        <v>0</v>
      </c>
      <c r="I24" s="198" t="s">
        <v>52</v>
      </c>
    </row>
    <row r="25" spans="1:9" s="49" customFormat="1" ht="37.5">
      <c r="A25" s="305" t="s">
        <v>62</v>
      </c>
      <c r="B25" s="306" t="s">
        <v>259</v>
      </c>
      <c r="C25" s="307">
        <v>180</v>
      </c>
      <c r="D25" s="308">
        <f>F25+G25</f>
        <v>1230000</v>
      </c>
      <c r="E25" s="308" t="s">
        <v>52</v>
      </c>
      <c r="F25" s="308">
        <v>1230000</v>
      </c>
      <c r="G25" s="308">
        <v>0</v>
      </c>
      <c r="H25" s="308" t="s">
        <v>52</v>
      </c>
      <c r="I25" s="309" t="s">
        <v>52</v>
      </c>
    </row>
    <row r="26" spans="1:14" s="49" customFormat="1" ht="43.5" customHeight="1">
      <c r="A26" s="311" t="s">
        <v>63</v>
      </c>
      <c r="B26" s="306" t="s">
        <v>261</v>
      </c>
      <c r="C26" s="307">
        <v>180</v>
      </c>
      <c r="D26" s="308">
        <f>H26</f>
        <v>0</v>
      </c>
      <c r="E26" s="308" t="s">
        <v>52</v>
      </c>
      <c r="F26" s="308" t="s">
        <v>52</v>
      </c>
      <c r="G26" s="308" t="s">
        <v>52</v>
      </c>
      <c r="H26" s="308">
        <v>0</v>
      </c>
      <c r="I26" s="309">
        <v>0</v>
      </c>
      <c r="M26" s="111">
        <f>D27-(D12+D11)</f>
        <v>569139.4553267509</v>
      </c>
      <c r="N26" s="49" t="s">
        <v>457</v>
      </c>
    </row>
    <row r="27" spans="1:13" s="51" customFormat="1" ht="53.25" customHeight="1">
      <c r="A27" s="320" t="s">
        <v>64</v>
      </c>
      <c r="B27" s="321" t="s">
        <v>262</v>
      </c>
      <c r="C27" s="322" t="s">
        <v>52</v>
      </c>
      <c r="D27" s="323">
        <f>D28+D34+D37+D43+D47</f>
        <v>46351977.59623584</v>
      </c>
      <c r="E27" s="323">
        <f>E28+E34+E37+E43+E47</f>
        <v>40469702.76532675</v>
      </c>
      <c r="F27" s="323">
        <f>F28+F34+F37+F43+F47</f>
        <v>1230000</v>
      </c>
      <c r="G27" s="323">
        <f>G28+G34+G37+G43+G47</f>
        <v>0</v>
      </c>
      <c r="H27" s="323">
        <f>H28+H34+H37+H43+H47</f>
        <v>4652274.830909092</v>
      </c>
      <c r="I27" s="324">
        <v>0</v>
      </c>
      <c r="M27" s="51" t="s">
        <v>260</v>
      </c>
    </row>
    <row r="28" spans="1:9" s="105" customFormat="1" ht="18.75">
      <c r="A28" s="311" t="s">
        <v>22</v>
      </c>
      <c r="B28" s="438" t="s">
        <v>263</v>
      </c>
      <c r="C28" s="439">
        <v>100</v>
      </c>
      <c r="D28" s="440">
        <f>D30+D32+D33</f>
        <v>33372525.515426755</v>
      </c>
      <c r="E28" s="440">
        <f>E30+E32+E33</f>
        <v>32272525.515426755</v>
      </c>
      <c r="F28" s="440">
        <f>F30+F32+F33</f>
        <v>1100000</v>
      </c>
      <c r="G28" s="440">
        <f>G30+G32+G33</f>
        <v>0</v>
      </c>
      <c r="H28" s="440">
        <f>H30+H32+H33</f>
        <v>0</v>
      </c>
      <c r="I28" s="441">
        <v>0</v>
      </c>
    </row>
    <row r="29" spans="1:13" s="105" customFormat="1" ht="37.5">
      <c r="A29" s="311" t="s">
        <v>65</v>
      </c>
      <c r="B29" s="438"/>
      <c r="C29" s="439"/>
      <c r="D29" s="440"/>
      <c r="E29" s="440"/>
      <c r="F29" s="440"/>
      <c r="G29" s="440"/>
      <c r="H29" s="440"/>
      <c r="I29" s="441"/>
      <c r="M29" s="112"/>
    </row>
    <row r="30" spans="1:9" s="105" customFormat="1" ht="18.75">
      <c r="A30" s="304" t="s">
        <v>4</v>
      </c>
      <c r="B30" s="434" t="s">
        <v>264</v>
      </c>
      <c r="C30" s="435">
        <v>111</v>
      </c>
      <c r="D30" s="436">
        <f>E30+F30+G30+H30</f>
        <v>24784988.555426758</v>
      </c>
      <c r="E30" s="436">
        <f>'Раздел II обоснование (2019.) '!J28</f>
        <v>24784988.555426758</v>
      </c>
      <c r="F30" s="436">
        <v>0</v>
      </c>
      <c r="G30" s="436">
        <v>0</v>
      </c>
      <c r="H30" s="436">
        <v>0</v>
      </c>
      <c r="I30" s="437">
        <v>0</v>
      </c>
    </row>
    <row r="31" spans="1:9" s="105" customFormat="1" ht="18.75">
      <c r="A31" s="304" t="s">
        <v>66</v>
      </c>
      <c r="B31" s="434"/>
      <c r="C31" s="435"/>
      <c r="D31" s="436"/>
      <c r="E31" s="436"/>
      <c r="F31" s="436"/>
      <c r="G31" s="436"/>
      <c r="H31" s="436"/>
      <c r="I31" s="437"/>
    </row>
    <row r="32" spans="1:13" s="105" customFormat="1" ht="68.25" customHeight="1">
      <c r="A32" s="312" t="s">
        <v>67</v>
      </c>
      <c r="B32" s="310" t="s">
        <v>265</v>
      </c>
      <c r="C32" s="197">
        <v>112</v>
      </c>
      <c r="D32" s="106">
        <f>E32+F32+G32+H32</f>
        <v>1103240</v>
      </c>
      <c r="E32" s="383">
        <f>'Раздел II обоснование (2019.) '!E65+'Раздел II обоснование (2019.) '!F43</f>
        <v>3240</v>
      </c>
      <c r="F32" s="361">
        <v>1100000</v>
      </c>
      <c r="G32" s="106">
        <v>0</v>
      </c>
      <c r="H32" s="106">
        <v>0</v>
      </c>
      <c r="I32" s="198">
        <v>0</v>
      </c>
      <c r="M32" s="112">
        <f>E27-E12</f>
        <v>528177.7653267533</v>
      </c>
    </row>
    <row r="33" spans="1:13" s="105" customFormat="1" ht="117" customHeight="1">
      <c r="A33" s="312" t="s">
        <v>68</v>
      </c>
      <c r="B33" s="310" t="s">
        <v>266</v>
      </c>
      <c r="C33" s="197">
        <v>119</v>
      </c>
      <c r="D33" s="106">
        <f>E33+F33+G33+H33</f>
        <v>7484296.959999999</v>
      </c>
      <c r="E33" s="361">
        <f>'Раздел II обоснование (2019.) '!D55</f>
        <v>7484296.959999999</v>
      </c>
      <c r="F33" s="106">
        <v>0</v>
      </c>
      <c r="G33" s="106">
        <v>0</v>
      </c>
      <c r="H33" s="106">
        <v>0</v>
      </c>
      <c r="I33" s="198">
        <v>0</v>
      </c>
      <c r="M33" s="112">
        <f>F27-F12</f>
        <v>0</v>
      </c>
    </row>
    <row r="34" spans="1:13" s="105" customFormat="1" ht="47.25" customHeight="1">
      <c r="A34" s="313" t="s">
        <v>69</v>
      </c>
      <c r="B34" s="306" t="s">
        <v>267</v>
      </c>
      <c r="C34" s="307">
        <v>300</v>
      </c>
      <c r="D34" s="308">
        <f>D35</f>
        <v>0</v>
      </c>
      <c r="E34" s="308">
        <f>E35</f>
        <v>0</v>
      </c>
      <c r="F34" s="308">
        <f>F35</f>
        <v>0</v>
      </c>
      <c r="G34" s="308">
        <f>G35</f>
        <v>0</v>
      </c>
      <c r="H34" s="308">
        <f>H35</f>
        <v>0</v>
      </c>
      <c r="I34" s="309">
        <v>0</v>
      </c>
      <c r="M34" s="112">
        <f>H27-H12</f>
        <v>40961.69000000041</v>
      </c>
    </row>
    <row r="35" spans="1:9" s="105" customFormat="1" ht="18.75">
      <c r="A35" s="312" t="s">
        <v>4</v>
      </c>
      <c r="B35" s="434" t="s">
        <v>268</v>
      </c>
      <c r="C35" s="435">
        <v>321</v>
      </c>
      <c r="D35" s="436">
        <f>E35+F35+G35+H35</f>
        <v>0</v>
      </c>
      <c r="E35" s="436">
        <v>0</v>
      </c>
      <c r="F35" s="436">
        <v>0</v>
      </c>
      <c r="G35" s="436">
        <v>0</v>
      </c>
      <c r="H35" s="436">
        <v>0</v>
      </c>
      <c r="I35" s="437">
        <v>0</v>
      </c>
    </row>
    <row r="36" spans="1:9" s="105" customFormat="1" ht="93.75">
      <c r="A36" s="312" t="s">
        <v>70</v>
      </c>
      <c r="B36" s="434"/>
      <c r="C36" s="435"/>
      <c r="D36" s="436"/>
      <c r="E36" s="436"/>
      <c r="F36" s="436"/>
      <c r="G36" s="436"/>
      <c r="H36" s="436"/>
      <c r="I36" s="437"/>
    </row>
    <row r="37" spans="1:9" s="105" customFormat="1" ht="53.25" customHeight="1">
      <c r="A37" s="313" t="s">
        <v>71</v>
      </c>
      <c r="B37" s="306" t="s">
        <v>269</v>
      </c>
      <c r="C37" s="307">
        <v>850</v>
      </c>
      <c r="D37" s="308">
        <f>D38+D40+D41+D42</f>
        <v>677975.9998999999</v>
      </c>
      <c r="E37" s="362">
        <f>E38+E40+E41+E42</f>
        <v>677975.9998999999</v>
      </c>
      <c r="F37" s="308">
        <f>F38+F40+F41+F42</f>
        <v>0</v>
      </c>
      <c r="G37" s="308">
        <f>G40</f>
        <v>0</v>
      </c>
      <c r="H37" s="308">
        <f>H38+H40+H41+H42</f>
        <v>0</v>
      </c>
      <c r="I37" s="309">
        <v>0</v>
      </c>
    </row>
    <row r="38" spans="1:9" s="105" customFormat="1" ht="18.75">
      <c r="A38" s="312" t="s">
        <v>4</v>
      </c>
      <c r="B38" s="434" t="s">
        <v>270</v>
      </c>
      <c r="C38" s="435">
        <v>851</v>
      </c>
      <c r="D38" s="436">
        <f>E38+F38+H38</f>
        <v>447557.9999</v>
      </c>
      <c r="E38" s="436">
        <f>'Раздел II обоснование (2019.) '!E76</f>
        <v>447557.9999</v>
      </c>
      <c r="F38" s="436">
        <v>0</v>
      </c>
      <c r="G38" s="436" t="s">
        <v>52</v>
      </c>
      <c r="H38" s="436">
        <v>0</v>
      </c>
      <c r="I38" s="437">
        <v>0</v>
      </c>
    </row>
    <row r="39" spans="1:9" s="105" customFormat="1" ht="18.75">
      <c r="A39" s="312" t="s">
        <v>92</v>
      </c>
      <c r="B39" s="434"/>
      <c r="C39" s="435"/>
      <c r="D39" s="436"/>
      <c r="E39" s="436"/>
      <c r="F39" s="436"/>
      <c r="G39" s="436"/>
      <c r="H39" s="436"/>
      <c r="I39" s="437"/>
    </row>
    <row r="40" spans="1:9" s="105" customFormat="1" ht="34.5" customHeight="1">
      <c r="A40" s="314" t="s">
        <v>72</v>
      </c>
      <c r="B40" s="310" t="s">
        <v>271</v>
      </c>
      <c r="C40" s="197">
        <v>851</v>
      </c>
      <c r="D40" s="106">
        <f>E40+F40+G40+H40</f>
        <v>230418</v>
      </c>
      <c r="E40" s="361">
        <f>'Раздел II обоснование (2019.) '!E77</f>
        <v>230418</v>
      </c>
      <c r="F40" s="106">
        <v>0</v>
      </c>
      <c r="G40" s="106">
        <v>0</v>
      </c>
      <c r="H40" s="106">
        <v>0</v>
      </c>
      <c r="I40" s="198">
        <v>0</v>
      </c>
    </row>
    <row r="41" spans="1:9" s="105" customFormat="1" ht="60" customHeight="1">
      <c r="A41" s="312" t="s">
        <v>436</v>
      </c>
      <c r="B41" s="310" t="s">
        <v>272</v>
      </c>
      <c r="C41" s="197">
        <v>852</v>
      </c>
      <c r="D41" s="106">
        <f>E41+F41+H41</f>
        <v>0</v>
      </c>
      <c r="E41" s="106">
        <f>'Раздел II обоснование (2019.) '!E78</f>
        <v>0</v>
      </c>
      <c r="F41" s="106">
        <v>0</v>
      </c>
      <c r="G41" s="106" t="s">
        <v>52</v>
      </c>
      <c r="H41" s="106">
        <v>0</v>
      </c>
      <c r="I41" s="198">
        <v>0</v>
      </c>
    </row>
    <row r="42" spans="1:9" s="105" customFormat="1" ht="51.75" customHeight="1">
      <c r="A42" s="312" t="s">
        <v>74</v>
      </c>
      <c r="B42" s="310" t="s">
        <v>273</v>
      </c>
      <c r="C42" s="197">
        <v>853</v>
      </c>
      <c r="D42" s="106">
        <f>E42+F42+H42</f>
        <v>0</v>
      </c>
      <c r="E42" s="106">
        <v>0</v>
      </c>
      <c r="F42" s="106">
        <v>0</v>
      </c>
      <c r="G42" s="106" t="s">
        <v>52</v>
      </c>
      <c r="H42" s="106">
        <v>0</v>
      </c>
      <c r="I42" s="198">
        <v>0</v>
      </c>
    </row>
    <row r="43" spans="1:9" s="49" customFormat="1" ht="56.25">
      <c r="A43" s="313" t="s">
        <v>75</v>
      </c>
      <c r="B43" s="306" t="s">
        <v>274</v>
      </c>
      <c r="C43" s="307">
        <v>400</v>
      </c>
      <c r="D43" s="308">
        <f>D44+D46</f>
        <v>0</v>
      </c>
      <c r="E43" s="308">
        <f>E44+E46</f>
        <v>0</v>
      </c>
      <c r="F43" s="308">
        <f>F44+F46</f>
        <v>0</v>
      </c>
      <c r="G43" s="308">
        <f>G44+G46</f>
        <v>0</v>
      </c>
      <c r="H43" s="308">
        <f>H44+H46</f>
        <v>0</v>
      </c>
      <c r="I43" s="309">
        <v>0</v>
      </c>
    </row>
    <row r="44" spans="1:9" s="105" customFormat="1" ht="18.75">
      <c r="A44" s="304" t="s">
        <v>4</v>
      </c>
      <c r="B44" s="434" t="s">
        <v>275</v>
      </c>
      <c r="C44" s="435">
        <v>416</v>
      </c>
      <c r="D44" s="436">
        <f>E44+F44+G44+H44</f>
        <v>0</v>
      </c>
      <c r="E44" s="436">
        <v>0</v>
      </c>
      <c r="F44" s="436">
        <v>0</v>
      </c>
      <c r="G44" s="436">
        <v>0</v>
      </c>
      <c r="H44" s="436">
        <v>0</v>
      </c>
      <c r="I44" s="437">
        <v>0</v>
      </c>
    </row>
    <row r="45" spans="1:9" s="105" customFormat="1" ht="93.75">
      <c r="A45" s="314" t="s">
        <v>76</v>
      </c>
      <c r="B45" s="434"/>
      <c r="C45" s="435"/>
      <c r="D45" s="436"/>
      <c r="E45" s="436"/>
      <c r="F45" s="436"/>
      <c r="G45" s="436"/>
      <c r="H45" s="436"/>
      <c r="I45" s="437"/>
    </row>
    <row r="46" spans="1:9" s="105" customFormat="1" ht="93.75">
      <c r="A46" s="314" t="s">
        <v>77</v>
      </c>
      <c r="B46" s="310" t="s">
        <v>276</v>
      </c>
      <c r="C46" s="197">
        <v>417</v>
      </c>
      <c r="D46" s="106">
        <f>E46+F46+G46+H46</f>
        <v>0</v>
      </c>
      <c r="E46" s="106">
        <v>0</v>
      </c>
      <c r="F46" s="106">
        <v>0</v>
      </c>
      <c r="G46" s="106">
        <v>0</v>
      </c>
      <c r="H46" s="106">
        <v>0</v>
      </c>
      <c r="I46" s="198">
        <v>0</v>
      </c>
    </row>
    <row r="47" spans="1:14" s="49" customFormat="1" ht="58.5" customHeight="1">
      <c r="A47" s="311" t="s">
        <v>78</v>
      </c>
      <c r="B47" s="306" t="s">
        <v>277</v>
      </c>
      <c r="C47" s="307">
        <v>200</v>
      </c>
      <c r="D47" s="308">
        <f>D48+D50</f>
        <v>12301476.080909092</v>
      </c>
      <c r="E47" s="308">
        <f>E48+E50</f>
        <v>7519201.25</v>
      </c>
      <c r="F47" s="308">
        <f>F48+F50</f>
        <v>130000</v>
      </c>
      <c r="G47" s="308">
        <f>G48+G50</f>
        <v>0</v>
      </c>
      <c r="H47" s="308">
        <f>H48+H50</f>
        <v>4652274.830909092</v>
      </c>
      <c r="I47" s="309">
        <v>0</v>
      </c>
      <c r="M47" s="49" t="s">
        <v>292</v>
      </c>
      <c r="N47" s="111">
        <f>3989688.29+500000+3240+69133.79</f>
        <v>4562062.08</v>
      </c>
    </row>
    <row r="48" spans="1:14" s="105" customFormat="1" ht="18.75">
      <c r="A48" s="304" t="s">
        <v>4</v>
      </c>
      <c r="B48" s="434" t="s">
        <v>278</v>
      </c>
      <c r="C48" s="435">
        <v>243</v>
      </c>
      <c r="D48" s="436">
        <f>E48+F48+G48+H48</f>
        <v>0</v>
      </c>
      <c r="E48" s="436">
        <v>0</v>
      </c>
      <c r="F48" s="436">
        <v>0</v>
      </c>
      <c r="G48" s="436">
        <v>0</v>
      </c>
      <c r="H48" s="436">
        <v>0</v>
      </c>
      <c r="I48" s="437">
        <v>0</v>
      </c>
      <c r="N48" s="112">
        <f>E51+E32+E56+E57+E58+E59</f>
        <v>4562062.08</v>
      </c>
    </row>
    <row r="49" spans="1:14" s="105" customFormat="1" ht="75">
      <c r="A49" s="304" t="s">
        <v>79</v>
      </c>
      <c r="B49" s="434"/>
      <c r="C49" s="435"/>
      <c r="D49" s="436"/>
      <c r="E49" s="436"/>
      <c r="F49" s="436"/>
      <c r="G49" s="436"/>
      <c r="H49" s="436"/>
      <c r="I49" s="437"/>
      <c r="N49" s="112">
        <f>N47-N48</f>
        <v>0</v>
      </c>
    </row>
    <row r="50" spans="1:13" s="105" customFormat="1" ht="75">
      <c r="A50" s="304" t="s">
        <v>80</v>
      </c>
      <c r="B50" s="310" t="s">
        <v>279</v>
      </c>
      <c r="C50" s="197">
        <v>244</v>
      </c>
      <c r="D50" s="106">
        <f>D51+D53+D54+D55+D56+D57+D58+D59</f>
        <v>12301476.080909092</v>
      </c>
      <c r="E50" s="106">
        <f>E51+E53+E54+E55+E56+E57+E58+E59</f>
        <v>7519201.25</v>
      </c>
      <c r="F50" s="106">
        <f>F51+F53+F54+F55+F56+F57+F58+F59</f>
        <v>130000</v>
      </c>
      <c r="G50" s="106">
        <f>G53+G54+G56+G57+G58+G59</f>
        <v>0</v>
      </c>
      <c r="H50" s="106">
        <f>H51+H53+H54+H55+H56+H57+H58+H59</f>
        <v>4652274.830909092</v>
      </c>
      <c r="I50" s="198">
        <v>0</v>
      </c>
      <c r="M50" s="112"/>
    </row>
    <row r="51" spans="1:9" s="105" customFormat="1" ht="18.75">
      <c r="A51" s="315" t="s">
        <v>4</v>
      </c>
      <c r="B51" s="434" t="s">
        <v>280</v>
      </c>
      <c r="C51" s="435">
        <v>244</v>
      </c>
      <c r="D51" s="436">
        <f>E51+F51+H51</f>
        <v>24000</v>
      </c>
      <c r="E51" s="436">
        <f>'Раздел II обоснование (2019.) '!F91</f>
        <v>24000</v>
      </c>
      <c r="F51" s="436">
        <v>0</v>
      </c>
      <c r="G51" s="436" t="s">
        <v>52</v>
      </c>
      <c r="H51" s="436">
        <v>0</v>
      </c>
      <c r="I51" s="437">
        <v>0</v>
      </c>
    </row>
    <row r="52" spans="1:9" s="105" customFormat="1" ht="32.25" customHeight="1">
      <c r="A52" s="315" t="s">
        <v>81</v>
      </c>
      <c r="B52" s="434"/>
      <c r="C52" s="435"/>
      <c r="D52" s="436"/>
      <c r="E52" s="436"/>
      <c r="F52" s="436"/>
      <c r="G52" s="436"/>
      <c r="H52" s="436"/>
      <c r="I52" s="437"/>
    </row>
    <row r="53" spans="1:13" s="105" customFormat="1" ht="33" customHeight="1">
      <c r="A53" s="315" t="s">
        <v>82</v>
      </c>
      <c r="B53" s="310" t="s">
        <v>281</v>
      </c>
      <c r="C53" s="197">
        <v>244</v>
      </c>
      <c r="D53" s="106">
        <f>E53+F53+G53+H53</f>
        <v>0</v>
      </c>
      <c r="E53" s="106">
        <v>0</v>
      </c>
      <c r="F53" s="106">
        <v>0</v>
      </c>
      <c r="G53" s="106">
        <v>0</v>
      </c>
      <c r="H53" s="106">
        <v>0</v>
      </c>
      <c r="I53" s="198">
        <v>0</v>
      </c>
      <c r="M53" s="112"/>
    </row>
    <row r="54" spans="1:9" s="105" customFormat="1" ht="32.25" customHeight="1">
      <c r="A54" s="315" t="s">
        <v>83</v>
      </c>
      <c r="B54" s="310" t="s">
        <v>282</v>
      </c>
      <c r="C54" s="197">
        <v>244</v>
      </c>
      <c r="D54" s="106">
        <f>E54+F54+G54+H54</f>
        <v>2960379.1700000004</v>
      </c>
      <c r="E54" s="361">
        <f>'Раздел II обоснование (2019.) '!G110+459043.98</f>
        <v>2960379.1700000004</v>
      </c>
      <c r="F54" s="106">
        <v>0</v>
      </c>
      <c r="G54" s="106">
        <v>0</v>
      </c>
      <c r="H54" s="106">
        <v>0</v>
      </c>
      <c r="I54" s="198">
        <v>0</v>
      </c>
    </row>
    <row r="55" spans="1:9" s="105" customFormat="1" ht="51.75" customHeight="1">
      <c r="A55" s="315" t="s">
        <v>84</v>
      </c>
      <c r="B55" s="310" t="s">
        <v>283</v>
      </c>
      <c r="C55" s="197">
        <v>244</v>
      </c>
      <c r="D55" s="106">
        <f>E55+F55+H55</f>
        <v>0</v>
      </c>
      <c r="E55" s="106">
        <v>0</v>
      </c>
      <c r="F55" s="106">
        <v>0</v>
      </c>
      <c r="G55" s="106" t="s">
        <v>52</v>
      </c>
      <c r="H55" s="106">
        <v>0</v>
      </c>
      <c r="I55" s="198">
        <v>0</v>
      </c>
    </row>
    <row r="56" spans="1:9" s="105" customFormat="1" ht="40.5" customHeight="1">
      <c r="A56" s="312" t="s">
        <v>85</v>
      </c>
      <c r="B56" s="310" t="s">
        <v>284</v>
      </c>
      <c r="C56" s="197">
        <v>244</v>
      </c>
      <c r="D56" s="106">
        <f aca="true" t="shared" si="0" ref="D56:D61">E56+F56+G56+H56</f>
        <v>1516602.0799999998</v>
      </c>
      <c r="E56" s="361">
        <f>'Раздел II обоснование (2019.) '!E138+6884.38+62249.41</f>
        <v>1516602.0799999998</v>
      </c>
      <c r="F56" s="106">
        <v>0</v>
      </c>
      <c r="G56" s="106">
        <v>0</v>
      </c>
      <c r="H56" s="106">
        <v>0</v>
      </c>
      <c r="I56" s="198">
        <v>0</v>
      </c>
    </row>
    <row r="57" spans="1:9" s="105" customFormat="1" ht="34.5" customHeight="1">
      <c r="A57" s="312" t="s">
        <v>86</v>
      </c>
      <c r="B57" s="310" t="s">
        <v>285</v>
      </c>
      <c r="C57" s="197">
        <v>244</v>
      </c>
      <c r="D57" s="106">
        <f>E57+F57+G57+H57</f>
        <v>990740</v>
      </c>
      <c r="E57" s="361">
        <f>'Раздел II обоснование (2019.) '!D153</f>
        <v>990740</v>
      </c>
      <c r="F57" s="361">
        <v>0</v>
      </c>
      <c r="G57" s="106">
        <v>0</v>
      </c>
      <c r="H57" s="106">
        <v>0</v>
      </c>
      <c r="I57" s="198">
        <v>0</v>
      </c>
    </row>
    <row r="58" spans="1:9" s="105" customFormat="1" ht="51" customHeight="1">
      <c r="A58" s="315" t="s">
        <v>87</v>
      </c>
      <c r="B58" s="310" t="s">
        <v>286</v>
      </c>
      <c r="C58" s="197">
        <v>244</v>
      </c>
      <c r="D58" s="106">
        <f>E58+F58+G58+H58</f>
        <v>1305480</v>
      </c>
      <c r="E58" s="361">
        <f>'Раздел II обоснование (2019.) '!E161</f>
        <v>1175480</v>
      </c>
      <c r="F58" s="106">
        <v>130000</v>
      </c>
      <c r="G58" s="106">
        <v>0</v>
      </c>
      <c r="H58" s="106">
        <v>0</v>
      </c>
      <c r="I58" s="198">
        <v>0</v>
      </c>
    </row>
    <row r="59" spans="1:9" s="105" customFormat="1" ht="49.5" customHeight="1">
      <c r="A59" s="315" t="s">
        <v>88</v>
      </c>
      <c r="B59" s="310" t="s">
        <v>287</v>
      </c>
      <c r="C59" s="197">
        <v>244</v>
      </c>
      <c r="D59" s="106">
        <f t="shared" si="0"/>
        <v>5504274.830909092</v>
      </c>
      <c r="E59" s="361">
        <f>'Раздел II обоснование (2019.) '!E164</f>
        <v>852000</v>
      </c>
      <c r="F59" s="106">
        <v>0</v>
      </c>
      <c r="G59" s="106">
        <v>0</v>
      </c>
      <c r="H59" s="106">
        <f>'Раздел II обоснование ПДД'!E161+H11+40961.69</f>
        <v>4652274.830909092</v>
      </c>
      <c r="I59" s="198">
        <v>0</v>
      </c>
    </row>
    <row r="60" spans="1:9" ht="37.5">
      <c r="A60" s="314" t="s">
        <v>89</v>
      </c>
      <c r="B60" s="310" t="s">
        <v>288</v>
      </c>
      <c r="C60" s="197">
        <v>500</v>
      </c>
      <c r="D60" s="106">
        <f t="shared" si="0"/>
        <v>45782838.14090909</v>
      </c>
      <c r="E60" s="106">
        <f>E12</f>
        <v>39941525</v>
      </c>
      <c r="F60" s="106">
        <f>F12</f>
        <v>1230000</v>
      </c>
      <c r="G60" s="106">
        <v>0</v>
      </c>
      <c r="H60" s="106">
        <f>H12</f>
        <v>4611313.140909092</v>
      </c>
      <c r="I60" s="198">
        <v>0</v>
      </c>
    </row>
    <row r="61" spans="1:9" ht="37.5">
      <c r="A61" s="314" t="s">
        <v>90</v>
      </c>
      <c r="B61" s="310" t="s">
        <v>289</v>
      </c>
      <c r="C61" s="197">
        <v>600</v>
      </c>
      <c r="D61" s="106">
        <f t="shared" si="0"/>
        <v>46351977.59623584</v>
      </c>
      <c r="E61" s="106">
        <f>E27</f>
        <v>40469702.76532675</v>
      </c>
      <c r="F61" s="106">
        <f>F27</f>
        <v>1230000</v>
      </c>
      <c r="G61" s="106">
        <v>0</v>
      </c>
      <c r="H61" s="106">
        <f>H27+H11</f>
        <v>4652274.830909092</v>
      </c>
      <c r="I61" s="198">
        <v>0</v>
      </c>
    </row>
    <row r="62" spans="1:9" ht="44.25" customHeight="1" thickBot="1">
      <c r="A62" s="316" t="s">
        <v>91</v>
      </c>
      <c r="B62" s="317" t="s">
        <v>409</v>
      </c>
      <c r="C62" s="318">
        <v>600</v>
      </c>
      <c r="D62" s="319">
        <f>E62+F62+H62</f>
        <v>569139.4553267537</v>
      </c>
      <c r="E62" s="319">
        <f>E27-E12</f>
        <v>528177.7653267533</v>
      </c>
      <c r="F62" s="319">
        <f>F27-F12</f>
        <v>0</v>
      </c>
      <c r="G62" s="319">
        <f>G27-G12</f>
        <v>0</v>
      </c>
      <c r="H62" s="319">
        <f>H27-H12</f>
        <v>40961.69000000041</v>
      </c>
      <c r="I62" s="319">
        <f>I27-I12</f>
        <v>0</v>
      </c>
    </row>
    <row r="1206" ht="15"/>
  </sheetData>
  <sheetProtection/>
  <mergeCells count="102">
    <mergeCell ref="M13:M16"/>
    <mergeCell ref="A3:I3"/>
    <mergeCell ref="A4:I4"/>
    <mergeCell ref="I51:I52"/>
    <mergeCell ref="B48:B49"/>
    <mergeCell ref="C48:C49"/>
    <mergeCell ref="G51:G52"/>
    <mergeCell ref="H51:H52"/>
    <mergeCell ref="A13:A14"/>
    <mergeCell ref="I38:I39"/>
    <mergeCell ref="H44:H45"/>
    <mergeCell ref="I44:I45"/>
    <mergeCell ref="H48:H49"/>
    <mergeCell ref="I48:I49"/>
    <mergeCell ref="G44:G45"/>
    <mergeCell ref="G48:G49"/>
    <mergeCell ref="H38:H39"/>
    <mergeCell ref="B35:B36"/>
    <mergeCell ref="B51:B52"/>
    <mergeCell ref="C51:C52"/>
    <mergeCell ref="D51:D52"/>
    <mergeCell ref="E51:E52"/>
    <mergeCell ref="F51:F52"/>
    <mergeCell ref="F44:F45"/>
    <mergeCell ref="E48:E49"/>
    <mergeCell ref="F48:F49"/>
    <mergeCell ref="D48:D49"/>
    <mergeCell ref="C35:C36"/>
    <mergeCell ref="B44:B45"/>
    <mergeCell ref="C44:C45"/>
    <mergeCell ref="D44:D45"/>
    <mergeCell ref="E44:E45"/>
    <mergeCell ref="B38:B39"/>
    <mergeCell ref="C38:C39"/>
    <mergeCell ref="D38:D39"/>
    <mergeCell ref="E38:E39"/>
    <mergeCell ref="D35:D36"/>
    <mergeCell ref="E35:E36"/>
    <mergeCell ref="F35:F36"/>
    <mergeCell ref="G35:G36"/>
    <mergeCell ref="F38:F39"/>
    <mergeCell ref="G38:G39"/>
    <mergeCell ref="H28:H29"/>
    <mergeCell ref="G30:G31"/>
    <mergeCell ref="I28:I29"/>
    <mergeCell ref="H30:H31"/>
    <mergeCell ref="I30:I31"/>
    <mergeCell ref="H35:H36"/>
    <mergeCell ref="I35:I36"/>
    <mergeCell ref="G28:G29"/>
    <mergeCell ref="B30:B31"/>
    <mergeCell ref="C30:C31"/>
    <mergeCell ref="D30:D31"/>
    <mergeCell ref="E30:E31"/>
    <mergeCell ref="F30:F31"/>
    <mergeCell ref="B28:B29"/>
    <mergeCell ref="C28:C29"/>
    <mergeCell ref="D28:D29"/>
    <mergeCell ref="E28:E29"/>
    <mergeCell ref="F28:F29"/>
    <mergeCell ref="H18:H19"/>
    <mergeCell ref="I18:I19"/>
    <mergeCell ref="B21:B22"/>
    <mergeCell ref="C21:C22"/>
    <mergeCell ref="D21:D22"/>
    <mergeCell ref="E21:E22"/>
    <mergeCell ref="F21:F22"/>
    <mergeCell ref="G21:G22"/>
    <mergeCell ref="H21:H22"/>
    <mergeCell ref="I21:I22"/>
    <mergeCell ref="B18:B19"/>
    <mergeCell ref="C18:C19"/>
    <mergeCell ref="D18:D19"/>
    <mergeCell ref="E18:E19"/>
    <mergeCell ref="F18:F19"/>
    <mergeCell ref="G18:G19"/>
    <mergeCell ref="H13:H14"/>
    <mergeCell ref="I13:I14"/>
    <mergeCell ref="B15:B16"/>
    <mergeCell ref="C15:C16"/>
    <mergeCell ref="D15:D16"/>
    <mergeCell ref="E15:E16"/>
    <mergeCell ref="F15:F16"/>
    <mergeCell ref="G15:G16"/>
    <mergeCell ref="H15:H16"/>
    <mergeCell ref="I15:I16"/>
    <mergeCell ref="B13:B14"/>
    <mergeCell ref="C13:C14"/>
    <mergeCell ref="D13:D14"/>
    <mergeCell ref="E13:E14"/>
    <mergeCell ref="F13:F14"/>
    <mergeCell ref="G13:G14"/>
    <mergeCell ref="A6:A9"/>
    <mergeCell ref="B6:B9"/>
    <mergeCell ref="C6:C9"/>
    <mergeCell ref="D6:I6"/>
    <mergeCell ref="D7:D9"/>
    <mergeCell ref="E7:I7"/>
    <mergeCell ref="E8:E9"/>
    <mergeCell ref="F8:F9"/>
    <mergeCell ref="G8:G9"/>
    <mergeCell ref="H8:I8"/>
  </mergeCells>
  <hyperlinks>
    <hyperlink ref="A6" location="Par1206" display="Par1206"/>
    <hyperlink ref="F8" r:id="rId1" display="consultantplus://offline/ref=EC513630DD0A2F9B2EC0205798B851993A5251D08ECB4308CDDA19182ECC2154EE9666852E0BHBND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2" r:id="rId4"/>
  <rowBreaks count="3" manualBreakCount="3">
    <brk id="26" max="8" man="1"/>
    <brk id="44" max="8" man="1"/>
    <brk id="62" max="11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3:O54"/>
  <sheetViews>
    <sheetView view="pageBreakPreview" zoomScale="60" zoomScalePageLayoutView="0" workbookViewId="0" topLeftCell="A17">
      <selection activeCell="C49" sqref="C49"/>
    </sheetView>
  </sheetViews>
  <sheetFormatPr defaultColWidth="28.8515625" defaultRowHeight="15"/>
  <cols>
    <col min="1" max="1" width="38.8515625" style="125" customWidth="1"/>
    <col min="2" max="2" width="9.57421875" style="125" customWidth="1"/>
    <col min="3" max="3" width="27.7109375" style="125" customWidth="1"/>
    <col min="4" max="4" width="30.00390625" style="125" customWidth="1"/>
    <col min="5" max="5" width="21.57421875" style="125" customWidth="1"/>
    <col min="6" max="7" width="18.57421875" style="125" customWidth="1"/>
    <col min="8" max="8" width="21.140625" style="125" customWidth="1"/>
    <col min="9" max="9" width="19.8515625" style="125" customWidth="1"/>
    <col min="10" max="10" width="15.421875" style="125" customWidth="1"/>
    <col min="11" max="11" width="16.8515625" style="125" customWidth="1"/>
    <col min="12" max="12" width="23.8515625" style="125" customWidth="1"/>
    <col min="13" max="13" width="36.421875" style="125" customWidth="1"/>
    <col min="14" max="16384" width="28.8515625" style="125" customWidth="1"/>
  </cols>
  <sheetData>
    <row r="1" ht="15"/>
    <row r="2" ht="15"/>
    <row r="3" spans="1:12" ht="18.75">
      <c r="A3" s="443" t="s">
        <v>104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</row>
    <row r="4" spans="1:12" ht="18.75">
      <c r="A4" s="443" t="s">
        <v>439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</row>
    <row r="5" ht="15.75" thickBot="1">
      <c r="L5" s="125" t="s">
        <v>105</v>
      </c>
    </row>
    <row r="6" spans="1:12" ht="18.75">
      <c r="A6" s="447" t="s">
        <v>1</v>
      </c>
      <c r="B6" s="423" t="s">
        <v>42</v>
      </c>
      <c r="C6" s="423" t="s">
        <v>96</v>
      </c>
      <c r="D6" s="423" t="s">
        <v>97</v>
      </c>
      <c r="E6" s="423"/>
      <c r="F6" s="423"/>
      <c r="G6" s="423"/>
      <c r="H6" s="423"/>
      <c r="I6" s="423"/>
      <c r="J6" s="423"/>
      <c r="K6" s="423"/>
      <c r="L6" s="426"/>
    </row>
    <row r="7" spans="1:12" ht="18.75">
      <c r="A7" s="448"/>
      <c r="B7" s="424"/>
      <c r="C7" s="424"/>
      <c r="D7" s="424" t="s">
        <v>98</v>
      </c>
      <c r="E7" s="424"/>
      <c r="F7" s="424"/>
      <c r="G7" s="424" t="s">
        <v>22</v>
      </c>
      <c r="H7" s="424"/>
      <c r="I7" s="424"/>
      <c r="J7" s="424"/>
      <c r="K7" s="424"/>
      <c r="L7" s="427"/>
    </row>
    <row r="8" spans="1:12" ht="65.25" customHeight="1">
      <c r="A8" s="448"/>
      <c r="B8" s="424"/>
      <c r="C8" s="424"/>
      <c r="D8" s="424"/>
      <c r="E8" s="424"/>
      <c r="F8" s="424"/>
      <c r="G8" s="428" t="s">
        <v>99</v>
      </c>
      <c r="H8" s="428"/>
      <c r="I8" s="428"/>
      <c r="J8" s="428" t="s">
        <v>100</v>
      </c>
      <c r="K8" s="428"/>
      <c r="L8" s="446"/>
    </row>
    <row r="9" spans="1:12" ht="71.25" customHeight="1" thickBot="1">
      <c r="A9" s="449"/>
      <c r="B9" s="425"/>
      <c r="C9" s="425"/>
      <c r="D9" s="277" t="s">
        <v>449</v>
      </c>
      <c r="E9" s="277" t="s">
        <v>450</v>
      </c>
      <c r="F9" s="277" t="s">
        <v>451</v>
      </c>
      <c r="G9" s="277" t="s">
        <v>449</v>
      </c>
      <c r="H9" s="277" t="s">
        <v>450</v>
      </c>
      <c r="I9" s="277" t="s">
        <v>451</v>
      </c>
      <c r="J9" s="277" t="s">
        <v>449</v>
      </c>
      <c r="K9" s="277" t="s">
        <v>452</v>
      </c>
      <c r="L9" s="278" t="s">
        <v>451</v>
      </c>
    </row>
    <row r="10" spans="1:12" ht="18.75">
      <c r="A10" s="274">
        <v>1</v>
      </c>
      <c r="B10" s="275">
        <v>2</v>
      </c>
      <c r="C10" s="275">
        <v>3</v>
      </c>
      <c r="D10" s="275">
        <v>4</v>
      </c>
      <c r="E10" s="275">
        <v>5</v>
      </c>
      <c r="F10" s="275">
        <v>6</v>
      </c>
      <c r="G10" s="275">
        <v>7</v>
      </c>
      <c r="H10" s="275">
        <v>8</v>
      </c>
      <c r="I10" s="275">
        <v>9</v>
      </c>
      <c r="J10" s="275">
        <v>10</v>
      </c>
      <c r="K10" s="275">
        <v>11</v>
      </c>
      <c r="L10" s="276">
        <v>12</v>
      </c>
    </row>
    <row r="11" spans="1:13" s="143" customFormat="1" ht="56.25">
      <c r="A11" s="295" t="s">
        <v>101</v>
      </c>
      <c r="B11" s="282" t="s">
        <v>290</v>
      </c>
      <c r="C11" s="175" t="s">
        <v>52</v>
      </c>
      <c r="D11" s="176">
        <f aca="true" t="shared" si="0" ref="D11:I11">D12+D15</f>
        <v>12301476.080909092</v>
      </c>
      <c r="E11" s="176">
        <f t="shared" si="0"/>
        <v>11695444.920909092</v>
      </c>
      <c r="F11" s="176">
        <f t="shared" si="0"/>
        <v>11791843.400909092</v>
      </c>
      <c r="G11" s="176">
        <f t="shared" si="0"/>
        <v>12301476.080909092</v>
      </c>
      <c r="H11" s="176">
        <f t="shared" si="0"/>
        <v>11695444.920909092</v>
      </c>
      <c r="I11" s="176">
        <f t="shared" si="0"/>
        <v>11791843.400909092</v>
      </c>
      <c r="J11" s="176"/>
      <c r="K11" s="176"/>
      <c r="L11" s="290"/>
      <c r="M11" s="143" t="s">
        <v>291</v>
      </c>
    </row>
    <row r="12" spans="1:15" s="142" customFormat="1" ht="80.25" customHeight="1">
      <c r="A12" s="325" t="s">
        <v>102</v>
      </c>
      <c r="B12" s="284">
        <v>1001</v>
      </c>
      <c r="C12" s="284" t="s">
        <v>52</v>
      </c>
      <c r="D12" s="285">
        <f aca="true" t="shared" si="1" ref="D12:F13">G12</f>
        <v>0</v>
      </c>
      <c r="E12" s="285">
        <f t="shared" si="1"/>
        <v>0</v>
      </c>
      <c r="F12" s="285">
        <f t="shared" si="1"/>
        <v>0</v>
      </c>
      <c r="G12" s="285">
        <f>G13</f>
        <v>0</v>
      </c>
      <c r="H12" s="285">
        <f>H13</f>
        <v>0</v>
      </c>
      <c r="I12" s="285">
        <f>I13</f>
        <v>0</v>
      </c>
      <c r="J12" s="285"/>
      <c r="K12" s="285"/>
      <c r="L12" s="293"/>
      <c r="M12" s="141">
        <f>D11-'Раздел 3 (2019.)'!D47</f>
        <v>0</v>
      </c>
      <c r="N12" s="141">
        <f>E11-'Раздел 3 (2020.)'!D47</f>
        <v>0</v>
      </c>
      <c r="O12" s="141">
        <f>F11-'Раздел 3 (2021.) '!D47</f>
        <v>0</v>
      </c>
    </row>
    <row r="13" spans="1:14" s="134" customFormat="1" ht="37.5" hidden="1">
      <c r="A13" s="294" t="s">
        <v>358</v>
      </c>
      <c r="B13" s="165"/>
      <c r="C13" s="165"/>
      <c r="D13" s="285">
        <f t="shared" si="1"/>
        <v>0</v>
      </c>
      <c r="E13" s="285">
        <f t="shared" si="1"/>
        <v>0</v>
      </c>
      <c r="F13" s="285">
        <f t="shared" si="1"/>
        <v>0</v>
      </c>
      <c r="G13" s="166">
        <v>0</v>
      </c>
      <c r="H13" s="166">
        <v>0</v>
      </c>
      <c r="I13" s="166">
        <v>0</v>
      </c>
      <c r="J13" s="166"/>
      <c r="K13" s="166"/>
      <c r="L13" s="170"/>
      <c r="M13" s="140"/>
      <c r="N13" s="140"/>
    </row>
    <row r="14" spans="1:14" s="134" customFormat="1" ht="18.75">
      <c r="A14" s="326"/>
      <c r="B14" s="327"/>
      <c r="C14" s="327"/>
      <c r="D14" s="328"/>
      <c r="E14" s="328"/>
      <c r="F14" s="328"/>
      <c r="G14" s="328"/>
      <c r="H14" s="328"/>
      <c r="I14" s="328"/>
      <c r="J14" s="328"/>
      <c r="K14" s="328"/>
      <c r="L14" s="329"/>
      <c r="M14" s="140"/>
      <c r="N14" s="140"/>
    </row>
    <row r="15" spans="1:12" s="142" customFormat="1" ht="58.5">
      <c r="A15" s="325" t="s">
        <v>103</v>
      </c>
      <c r="B15" s="284">
        <v>2001</v>
      </c>
      <c r="C15" s="330"/>
      <c r="D15" s="285">
        <f>G15</f>
        <v>12301476.080909092</v>
      </c>
      <c r="E15" s="285">
        <f>H15</f>
        <v>11695444.920909092</v>
      </c>
      <c r="F15" s="285">
        <f>I15</f>
        <v>11791843.400909092</v>
      </c>
      <c r="G15" s="285">
        <f>SUM(G16:G52)</f>
        <v>12301476.080909092</v>
      </c>
      <c r="H15" s="285">
        <f>SUM(H16:H52)</f>
        <v>11695444.920909092</v>
      </c>
      <c r="I15" s="285">
        <f>SUM(I16:I52)</f>
        <v>11791843.400909092</v>
      </c>
      <c r="J15" s="285"/>
      <c r="K15" s="285"/>
      <c r="L15" s="293"/>
    </row>
    <row r="16" spans="1:12" ht="35.25" customHeight="1">
      <c r="A16" s="331" t="s">
        <v>392</v>
      </c>
      <c r="B16" s="332"/>
      <c r="C16" s="332"/>
      <c r="D16" s="176">
        <f>G16</f>
        <v>24000</v>
      </c>
      <c r="E16" s="176">
        <f aca="true" t="shared" si="2" ref="E16:E49">H16</f>
        <v>24000</v>
      </c>
      <c r="F16" s="176">
        <f>I16</f>
        <v>24000</v>
      </c>
      <c r="G16" s="166">
        <f>'Раздел II обоснование (2019.) '!F90</f>
        <v>24000</v>
      </c>
      <c r="H16" s="166">
        <f>'Раздел II обоснование (2020) '!F89</f>
        <v>24000</v>
      </c>
      <c r="I16" s="166">
        <f>'Раздел II обоснование (2021)'!F89</f>
        <v>24000</v>
      </c>
      <c r="J16" s="333"/>
      <c r="K16" s="333"/>
      <c r="L16" s="334"/>
    </row>
    <row r="17" spans="1:12" s="130" customFormat="1" ht="35.25" customHeight="1">
      <c r="A17" s="294" t="s">
        <v>325</v>
      </c>
      <c r="B17" s="332"/>
      <c r="C17" s="332"/>
      <c r="D17" s="176">
        <f aca="true" t="shared" si="3" ref="D17:D54">G17</f>
        <v>1572157.97</v>
      </c>
      <c r="E17" s="176">
        <f t="shared" si="2"/>
        <v>1157638.28</v>
      </c>
      <c r="F17" s="176">
        <f aca="true" t="shared" si="4" ref="F17:F22">I17</f>
        <v>1203943.38</v>
      </c>
      <c r="G17" s="166">
        <f>'Раздел II обоснование (2019.) '!G104+459043.98</f>
        <v>1572157.97</v>
      </c>
      <c r="H17" s="166">
        <f>'Раздел II обоснование (2020) '!G103</f>
        <v>1157638.28</v>
      </c>
      <c r="I17" s="166">
        <f>'Раздел II обоснование (2021)'!G103</f>
        <v>1203943.38</v>
      </c>
      <c r="J17" s="333"/>
      <c r="K17" s="333"/>
      <c r="L17" s="334"/>
    </row>
    <row r="18" spans="1:12" s="130" customFormat="1" ht="35.25" customHeight="1">
      <c r="A18" s="294" t="s">
        <v>327</v>
      </c>
      <c r="B18" s="332"/>
      <c r="C18" s="332"/>
      <c r="D18" s="176">
        <f t="shared" si="3"/>
        <v>942206.1700000002</v>
      </c>
      <c r="E18" s="176">
        <f t="shared" si="2"/>
        <v>979894.2699999999</v>
      </c>
      <c r="F18" s="176">
        <f t="shared" si="4"/>
        <v>1019089.54</v>
      </c>
      <c r="G18" s="166">
        <f>'Раздел II обоснование (2019.) '!G105</f>
        <v>942206.1700000002</v>
      </c>
      <c r="H18" s="166">
        <f>'Раздел II обоснование (2020) '!G104</f>
        <v>979894.2699999999</v>
      </c>
      <c r="I18" s="166">
        <f>'Раздел II обоснование (2021)'!G104</f>
        <v>1019089.54</v>
      </c>
      <c r="J18" s="333"/>
      <c r="K18" s="333"/>
      <c r="L18" s="334"/>
    </row>
    <row r="19" spans="1:12" s="130" customFormat="1" ht="40.5" customHeight="1">
      <c r="A19" s="294" t="s">
        <v>333</v>
      </c>
      <c r="B19" s="332"/>
      <c r="C19" s="332"/>
      <c r="D19" s="176">
        <f t="shared" si="3"/>
        <v>38295.4</v>
      </c>
      <c r="E19" s="176">
        <f t="shared" si="2"/>
        <v>39828.39</v>
      </c>
      <c r="F19" s="176">
        <f t="shared" si="4"/>
        <v>41420.95</v>
      </c>
      <c r="G19" s="166">
        <f>'Раздел II обоснование (2019.) '!G109</f>
        <v>38295.4</v>
      </c>
      <c r="H19" s="166">
        <f>'Раздел II обоснование (2020) '!G108</f>
        <v>39828.39</v>
      </c>
      <c r="I19" s="166">
        <f>'Раздел II обоснование (2021)'!G108</f>
        <v>41420.95</v>
      </c>
      <c r="J19" s="333"/>
      <c r="K19" s="333"/>
      <c r="L19" s="334"/>
    </row>
    <row r="20" spans="1:12" s="130" customFormat="1" ht="35.25" customHeight="1">
      <c r="A20" s="294" t="s">
        <v>328</v>
      </c>
      <c r="B20" s="332"/>
      <c r="C20" s="332"/>
      <c r="D20" s="176">
        <f t="shared" si="3"/>
        <v>267482.78</v>
      </c>
      <c r="E20" s="176">
        <f t="shared" si="2"/>
        <v>278286.67</v>
      </c>
      <c r="F20" s="176">
        <f t="shared" si="4"/>
        <v>289571.16</v>
      </c>
      <c r="G20" s="166">
        <f>'Раздел II обоснование (2019.) '!G106</f>
        <v>267482.78</v>
      </c>
      <c r="H20" s="166">
        <f>'Раздел II обоснование (2020) '!G105</f>
        <v>278286.67</v>
      </c>
      <c r="I20" s="166">
        <f>'Раздел II обоснование (2021)'!G105</f>
        <v>289571.16</v>
      </c>
      <c r="J20" s="333"/>
      <c r="K20" s="333"/>
      <c r="L20" s="334"/>
    </row>
    <row r="21" spans="1:12" s="130" customFormat="1" ht="35.25" customHeight="1">
      <c r="A21" s="294" t="s">
        <v>330</v>
      </c>
      <c r="B21" s="332"/>
      <c r="C21" s="332"/>
      <c r="D21" s="176">
        <f t="shared" si="3"/>
        <v>63662.130000000005</v>
      </c>
      <c r="E21" s="176">
        <f t="shared" si="2"/>
        <v>66210.37</v>
      </c>
      <c r="F21" s="176">
        <f t="shared" si="4"/>
        <v>68857.17</v>
      </c>
      <c r="G21" s="166">
        <f>'Раздел II обоснование (2019.) '!G107</f>
        <v>63662.130000000005</v>
      </c>
      <c r="H21" s="166">
        <f>'Раздел II обоснование (2020) '!G106</f>
        <v>66210.37</v>
      </c>
      <c r="I21" s="166">
        <f>'Раздел II обоснование (2021)'!G106</f>
        <v>68857.17</v>
      </c>
      <c r="J21" s="333"/>
      <c r="K21" s="333"/>
      <c r="L21" s="334"/>
    </row>
    <row r="22" spans="1:12" s="130" customFormat="1" ht="35.25" customHeight="1">
      <c r="A22" s="294" t="s">
        <v>332</v>
      </c>
      <c r="B22" s="332"/>
      <c r="C22" s="332"/>
      <c r="D22" s="176">
        <f t="shared" si="3"/>
        <v>76574.72</v>
      </c>
      <c r="E22" s="176">
        <f t="shared" si="2"/>
        <v>79630.7</v>
      </c>
      <c r="F22" s="176">
        <f t="shared" si="4"/>
        <v>82813.85</v>
      </c>
      <c r="G22" s="166">
        <f>'Раздел II обоснование (2019.) '!G108</f>
        <v>76574.72</v>
      </c>
      <c r="H22" s="166">
        <f>'Раздел II обоснование (2020) '!G107</f>
        <v>79630.7</v>
      </c>
      <c r="I22" s="166">
        <f>'Раздел II обоснование (2021)'!G107</f>
        <v>82813.85</v>
      </c>
      <c r="J22" s="333"/>
      <c r="K22" s="333"/>
      <c r="L22" s="334"/>
    </row>
    <row r="23" spans="1:12" ht="33" customHeight="1">
      <c r="A23" s="294" t="s">
        <v>336</v>
      </c>
      <c r="B23" s="332"/>
      <c r="C23" s="332"/>
      <c r="D23" s="176">
        <f t="shared" si="3"/>
        <v>78884.38</v>
      </c>
      <c r="E23" s="176">
        <f t="shared" si="2"/>
        <v>67200</v>
      </c>
      <c r="F23" s="176">
        <f aca="true" t="shared" si="5" ref="F23:F49">I23</f>
        <v>67200</v>
      </c>
      <c r="G23" s="166">
        <f>'Раздел II обоснование (2019.) '!E123+6884.38</f>
        <v>78884.38</v>
      </c>
      <c r="H23" s="166">
        <f>'Раздел II обоснование (2020) '!E122</f>
        <v>67200</v>
      </c>
      <c r="I23" s="166">
        <f>'Раздел II обоснование (2021)'!E122</f>
        <v>67200</v>
      </c>
      <c r="J23" s="333"/>
      <c r="K23" s="333"/>
      <c r="L23" s="334"/>
    </row>
    <row r="24" spans="1:12" s="130" customFormat="1" ht="37.5">
      <c r="A24" s="296" t="s">
        <v>397</v>
      </c>
      <c r="B24" s="332"/>
      <c r="C24" s="332"/>
      <c r="D24" s="176">
        <f>G24</f>
        <v>7800</v>
      </c>
      <c r="E24" s="176">
        <f>H24</f>
        <v>5400</v>
      </c>
      <c r="F24" s="176">
        <f t="shared" si="5"/>
        <v>5400</v>
      </c>
      <c r="G24" s="166">
        <f>'Раздел II обоснование (2019.) '!E124</f>
        <v>7800</v>
      </c>
      <c r="H24" s="166">
        <f>'Раздел II обоснование (2020) '!E123</f>
        <v>5400</v>
      </c>
      <c r="I24" s="166">
        <f>'Раздел II обоснование (2021)'!E123</f>
        <v>5400</v>
      </c>
      <c r="J24" s="333"/>
      <c r="K24" s="333"/>
      <c r="L24" s="334"/>
    </row>
    <row r="25" spans="1:12" ht="37.5">
      <c r="A25" s="294" t="s">
        <v>393</v>
      </c>
      <c r="B25" s="332"/>
      <c r="C25" s="332"/>
      <c r="D25" s="176">
        <f t="shared" si="3"/>
        <v>60000</v>
      </c>
      <c r="E25" s="176">
        <f t="shared" si="2"/>
        <v>57600</v>
      </c>
      <c r="F25" s="176">
        <f t="shared" si="5"/>
        <v>57600</v>
      </c>
      <c r="G25" s="166">
        <f>'Раздел II обоснование (2019.) '!E125</f>
        <v>60000</v>
      </c>
      <c r="H25" s="166">
        <f>'Раздел II обоснование (2020) '!E124</f>
        <v>57600</v>
      </c>
      <c r="I25" s="166">
        <f>'Раздел II обоснование (2021)'!E124</f>
        <v>57600</v>
      </c>
      <c r="J25" s="333"/>
      <c r="K25" s="333"/>
      <c r="L25" s="334"/>
    </row>
    <row r="26" spans="1:12" ht="56.25">
      <c r="A26" s="296" t="s">
        <v>394</v>
      </c>
      <c r="B26" s="332"/>
      <c r="C26" s="332"/>
      <c r="D26" s="176">
        <f t="shared" si="3"/>
        <v>78000</v>
      </c>
      <c r="E26" s="176">
        <f t="shared" si="2"/>
        <v>77040</v>
      </c>
      <c r="F26" s="176">
        <f t="shared" si="5"/>
        <v>77040</v>
      </c>
      <c r="G26" s="166">
        <f>'Раздел II обоснование (2019.) '!E126</f>
        <v>78000</v>
      </c>
      <c r="H26" s="166">
        <f>'Раздел II обоснование (2020) '!E125</f>
        <v>77040</v>
      </c>
      <c r="I26" s="166">
        <f>'Раздел II обоснование (2021)'!E125</f>
        <v>77040</v>
      </c>
      <c r="J26" s="333"/>
      <c r="K26" s="333"/>
      <c r="L26" s="334"/>
    </row>
    <row r="27" spans="1:12" ht="37.5">
      <c r="A27" s="296" t="s">
        <v>395</v>
      </c>
      <c r="B27" s="332"/>
      <c r="C27" s="332"/>
      <c r="D27" s="176">
        <f t="shared" si="3"/>
        <v>15000</v>
      </c>
      <c r="E27" s="176">
        <f t="shared" si="2"/>
        <v>14760</v>
      </c>
      <c r="F27" s="176">
        <f t="shared" si="5"/>
        <v>14760</v>
      </c>
      <c r="G27" s="166">
        <f>'Раздел II обоснование (2019.) '!E127</f>
        <v>15000</v>
      </c>
      <c r="H27" s="166">
        <f>'Раздел II обоснование (2020) '!E126</f>
        <v>14760</v>
      </c>
      <c r="I27" s="166">
        <f>'Раздел II обоснование (2021)'!E126</f>
        <v>14760</v>
      </c>
      <c r="J27" s="333"/>
      <c r="K27" s="333"/>
      <c r="L27" s="334"/>
    </row>
    <row r="28" spans="1:12" ht="56.25">
      <c r="A28" s="296" t="s">
        <v>341</v>
      </c>
      <c r="B28" s="332"/>
      <c r="C28" s="332"/>
      <c r="D28" s="176">
        <f t="shared" si="3"/>
        <v>30000</v>
      </c>
      <c r="E28" s="176">
        <f t="shared" si="2"/>
        <v>32160</v>
      </c>
      <c r="F28" s="176">
        <f t="shared" si="5"/>
        <v>32160</v>
      </c>
      <c r="G28" s="166">
        <f>'Раздел II обоснование (2019.) '!E128</f>
        <v>30000</v>
      </c>
      <c r="H28" s="166">
        <f>'Раздел II обоснование (2020) '!E127</f>
        <v>32160</v>
      </c>
      <c r="I28" s="166">
        <f>'Раздел II обоснование (2021)'!E127</f>
        <v>32160</v>
      </c>
      <c r="J28" s="333"/>
      <c r="K28" s="333"/>
      <c r="L28" s="334"/>
    </row>
    <row r="29" spans="1:12" ht="18.75">
      <c r="A29" s="296" t="s">
        <v>342</v>
      </c>
      <c r="B29" s="332"/>
      <c r="C29" s="332"/>
      <c r="D29" s="176">
        <f t="shared" si="3"/>
        <v>312249.41</v>
      </c>
      <c r="E29" s="176">
        <f t="shared" si="2"/>
        <v>200000</v>
      </c>
      <c r="F29" s="176">
        <f t="shared" si="5"/>
        <v>200000</v>
      </c>
      <c r="G29" s="166">
        <f>'Раздел II обоснование (2019.) '!E129+62249.41</f>
        <v>312249.41</v>
      </c>
      <c r="H29" s="166">
        <f>'Раздел II обоснование (2020) '!E128</f>
        <v>200000</v>
      </c>
      <c r="I29" s="166">
        <f>'Раздел II обоснование (2021)'!E128</f>
        <v>200000</v>
      </c>
      <c r="J29" s="333"/>
      <c r="K29" s="333"/>
      <c r="L29" s="334"/>
    </row>
    <row r="30" spans="1:12" ht="56.25">
      <c r="A30" s="296" t="s">
        <v>396</v>
      </c>
      <c r="B30" s="332"/>
      <c r="C30" s="332"/>
      <c r="D30" s="176">
        <f t="shared" si="3"/>
        <v>10000</v>
      </c>
      <c r="E30" s="176">
        <f t="shared" si="2"/>
        <v>10000</v>
      </c>
      <c r="F30" s="176">
        <f t="shared" si="5"/>
        <v>10000</v>
      </c>
      <c r="G30" s="166">
        <f>'Раздел II обоснование (2019.) '!E130</f>
        <v>10000</v>
      </c>
      <c r="H30" s="166">
        <f>'Раздел II обоснование (2020) '!E129</f>
        <v>10000</v>
      </c>
      <c r="I30" s="166">
        <f>'Раздел II обоснование (2021)'!E129</f>
        <v>10000</v>
      </c>
      <c r="J30" s="333"/>
      <c r="K30" s="333"/>
      <c r="L30" s="334"/>
    </row>
    <row r="31" spans="1:12" s="150" customFormat="1" ht="18.75">
      <c r="A31" s="296" t="s">
        <v>456</v>
      </c>
      <c r="B31" s="332"/>
      <c r="C31" s="332"/>
      <c r="D31" s="176">
        <f aca="true" t="shared" si="6" ref="D31:E34">G31</f>
        <v>100000</v>
      </c>
      <c r="E31" s="176">
        <f t="shared" si="6"/>
        <v>70000</v>
      </c>
      <c r="F31" s="176">
        <f t="shared" si="5"/>
        <v>70000</v>
      </c>
      <c r="G31" s="166">
        <f>'Раздел II обоснование (2019.) '!E131</f>
        <v>100000</v>
      </c>
      <c r="H31" s="166">
        <f>'Раздел II обоснование (2020) '!E130</f>
        <v>70000</v>
      </c>
      <c r="I31" s="166">
        <f>'Раздел II обоснование (2021)'!E130</f>
        <v>70000</v>
      </c>
      <c r="J31" s="333"/>
      <c r="K31" s="333"/>
      <c r="L31" s="334"/>
    </row>
    <row r="32" spans="1:12" s="130" customFormat="1" ht="37.5">
      <c r="A32" s="296" t="s">
        <v>398</v>
      </c>
      <c r="B32" s="332"/>
      <c r="C32" s="332"/>
      <c r="D32" s="176">
        <f t="shared" si="6"/>
        <v>368928.29</v>
      </c>
      <c r="E32" s="176">
        <f t="shared" si="6"/>
        <v>660000</v>
      </c>
      <c r="F32" s="176">
        <f t="shared" si="5"/>
        <v>660000</v>
      </c>
      <c r="G32" s="166">
        <f>'Раздел II обоснование (2019.) '!E132</f>
        <v>368928.29</v>
      </c>
      <c r="H32" s="166">
        <f>'Раздел II обоснование (2020) '!E131</f>
        <v>660000</v>
      </c>
      <c r="I32" s="166">
        <f>'Раздел II обоснование (2021)'!E131</f>
        <v>660000</v>
      </c>
      <c r="J32" s="333"/>
      <c r="K32" s="333"/>
      <c r="L32" s="334"/>
    </row>
    <row r="33" spans="1:12" s="150" customFormat="1" ht="23.25" customHeight="1">
      <c r="A33" s="296" t="s">
        <v>412</v>
      </c>
      <c r="B33" s="332"/>
      <c r="C33" s="332"/>
      <c r="D33" s="176">
        <f t="shared" si="6"/>
        <v>10000</v>
      </c>
      <c r="E33" s="176">
        <f t="shared" si="6"/>
        <v>20000</v>
      </c>
      <c r="F33" s="176">
        <f t="shared" si="5"/>
        <v>20000</v>
      </c>
      <c r="G33" s="166">
        <f>'Раздел II обоснование (2019.) '!E133</f>
        <v>10000</v>
      </c>
      <c r="H33" s="166">
        <f>'Раздел II обоснование (2020) '!E132</f>
        <v>20000</v>
      </c>
      <c r="I33" s="166">
        <f>'Раздел II обоснование (2021)'!E132</f>
        <v>20000</v>
      </c>
      <c r="J33" s="333"/>
      <c r="K33" s="333"/>
      <c r="L33" s="334"/>
    </row>
    <row r="34" spans="1:12" s="139" customFormat="1" ht="23.25" customHeight="1">
      <c r="A34" s="296" t="s">
        <v>345</v>
      </c>
      <c r="B34" s="332"/>
      <c r="C34" s="332"/>
      <c r="D34" s="176">
        <f t="shared" si="6"/>
        <v>10000</v>
      </c>
      <c r="E34" s="176">
        <f t="shared" si="6"/>
        <v>60000</v>
      </c>
      <c r="F34" s="176">
        <f t="shared" si="5"/>
        <v>60000</v>
      </c>
      <c r="G34" s="166">
        <f>'Раздел II обоснование (2019.) '!E134</f>
        <v>10000</v>
      </c>
      <c r="H34" s="166">
        <f>'Раздел II обоснование (2020) '!E133</f>
        <v>60000</v>
      </c>
      <c r="I34" s="166">
        <f>'Раздел II обоснование (2021)'!E133</f>
        <v>60000</v>
      </c>
      <c r="J34" s="333"/>
      <c r="K34" s="333"/>
      <c r="L34" s="334"/>
    </row>
    <row r="35" spans="1:12" s="130" customFormat="1" ht="37.5">
      <c r="A35" s="296" t="s">
        <v>346</v>
      </c>
      <c r="B35" s="332"/>
      <c r="C35" s="332"/>
      <c r="D35" s="176">
        <f t="shared" si="3"/>
        <v>30000</v>
      </c>
      <c r="E35" s="176">
        <f t="shared" si="2"/>
        <v>30000</v>
      </c>
      <c r="F35" s="176">
        <f t="shared" si="5"/>
        <v>30000</v>
      </c>
      <c r="G35" s="166">
        <f>'Раздел II обоснование (2019.) '!E135</f>
        <v>30000</v>
      </c>
      <c r="H35" s="166">
        <f>'Раздел II обоснование (2020) '!E134</f>
        <v>30000</v>
      </c>
      <c r="I35" s="166">
        <f>'Раздел II обоснование (2021)'!E134</f>
        <v>30000</v>
      </c>
      <c r="J35" s="333"/>
      <c r="K35" s="333"/>
      <c r="L35" s="334"/>
    </row>
    <row r="36" spans="1:12" s="130" customFormat="1" ht="18.75">
      <c r="A36" s="296" t="s">
        <v>455</v>
      </c>
      <c r="B36" s="332"/>
      <c r="C36" s="332"/>
      <c r="D36" s="176">
        <f t="shared" si="3"/>
        <v>120000</v>
      </c>
      <c r="E36" s="176">
        <f t="shared" si="2"/>
        <v>30000</v>
      </c>
      <c r="F36" s="176">
        <f t="shared" si="5"/>
        <v>30000</v>
      </c>
      <c r="G36" s="166">
        <f>'Раздел II обоснование (2019.) '!E136</f>
        <v>120000</v>
      </c>
      <c r="H36" s="166">
        <f>'Раздел II обоснование (2020) '!E135</f>
        <v>30000</v>
      </c>
      <c r="I36" s="166">
        <f>'Раздел II обоснование (2021)'!E135</f>
        <v>30000</v>
      </c>
      <c r="J36" s="333"/>
      <c r="K36" s="333"/>
      <c r="L36" s="334"/>
    </row>
    <row r="37" spans="1:12" s="130" customFormat="1" ht="37.5">
      <c r="A37" s="296" t="s">
        <v>418</v>
      </c>
      <c r="B37" s="332"/>
      <c r="C37" s="332"/>
      <c r="D37" s="176">
        <f t="shared" si="3"/>
        <v>285740</v>
      </c>
      <c r="E37" s="176">
        <f t="shared" si="2"/>
        <v>178914.52</v>
      </c>
      <c r="F37" s="176">
        <f t="shared" si="5"/>
        <v>99381.01999999999</v>
      </c>
      <c r="G37" s="166">
        <f>'Раздел II обоснование (2019.) '!E137</f>
        <v>285740</v>
      </c>
      <c r="H37" s="166">
        <f>'Раздел II обоснование (2020) '!E136</f>
        <v>178914.52</v>
      </c>
      <c r="I37" s="166">
        <f>'Раздел II обоснование (2021)'!E136</f>
        <v>99381.01999999999</v>
      </c>
      <c r="J37" s="333"/>
      <c r="K37" s="333"/>
      <c r="L37" s="334"/>
    </row>
    <row r="38" spans="1:12" ht="28.5" customHeight="1">
      <c r="A38" s="294" t="s">
        <v>349</v>
      </c>
      <c r="B38" s="332"/>
      <c r="C38" s="332"/>
      <c r="D38" s="176">
        <f t="shared" si="3"/>
        <v>78000</v>
      </c>
      <c r="E38" s="176">
        <f t="shared" si="2"/>
        <v>80400</v>
      </c>
      <c r="F38" s="176">
        <f t="shared" si="5"/>
        <v>80400</v>
      </c>
      <c r="G38" s="166">
        <f>'Раздел II обоснование (2019.) '!D144</f>
        <v>78000</v>
      </c>
      <c r="H38" s="166">
        <f>'Раздел II обоснование (2020) '!D143</f>
        <v>80400</v>
      </c>
      <c r="I38" s="166">
        <f>'Раздел II обоснование (2021)'!D143</f>
        <v>80400</v>
      </c>
      <c r="J38" s="333"/>
      <c r="K38" s="333"/>
      <c r="L38" s="334"/>
    </row>
    <row r="39" spans="1:12" ht="42" customHeight="1">
      <c r="A39" s="294" t="s">
        <v>350</v>
      </c>
      <c r="B39" s="332"/>
      <c r="C39" s="332"/>
      <c r="D39" s="176">
        <f aca="true" t="shared" si="7" ref="D39:E44">G39</f>
        <v>120000</v>
      </c>
      <c r="E39" s="176">
        <f t="shared" si="7"/>
        <v>132000</v>
      </c>
      <c r="F39" s="176">
        <f t="shared" si="5"/>
        <v>132000</v>
      </c>
      <c r="G39" s="166">
        <f>'Раздел II обоснование (2019.) '!D145</f>
        <v>120000</v>
      </c>
      <c r="H39" s="166">
        <f>'Раздел II обоснование (2020) '!D144</f>
        <v>132000</v>
      </c>
      <c r="I39" s="166">
        <f>'Раздел II обоснование (2021)'!D144</f>
        <v>132000</v>
      </c>
      <c r="J39" s="333"/>
      <c r="K39" s="333"/>
      <c r="L39" s="334"/>
    </row>
    <row r="40" spans="1:12" s="131" customFormat="1" ht="37.5">
      <c r="A40" s="335" t="s">
        <v>351</v>
      </c>
      <c r="B40" s="332"/>
      <c r="C40" s="332"/>
      <c r="D40" s="176">
        <f t="shared" si="7"/>
        <v>30000</v>
      </c>
      <c r="E40" s="176">
        <f t="shared" si="7"/>
        <v>40000</v>
      </c>
      <c r="F40" s="176">
        <f t="shared" si="5"/>
        <v>40000</v>
      </c>
      <c r="G40" s="166">
        <f>'Раздел II обоснование (2019.) '!D146</f>
        <v>30000</v>
      </c>
      <c r="H40" s="166">
        <f>'Раздел II обоснование (2020) '!D145</f>
        <v>40000</v>
      </c>
      <c r="I40" s="166">
        <f>'Раздел II обоснование (2021)'!D145</f>
        <v>40000</v>
      </c>
      <c r="J40" s="333"/>
      <c r="K40" s="333"/>
      <c r="L40" s="334"/>
    </row>
    <row r="41" spans="1:12" ht="18.75">
      <c r="A41" s="294" t="s">
        <v>352</v>
      </c>
      <c r="B41" s="332"/>
      <c r="C41" s="332"/>
      <c r="D41" s="176">
        <f t="shared" si="7"/>
        <v>250000</v>
      </c>
      <c r="E41" s="176">
        <f t="shared" si="7"/>
        <v>285000</v>
      </c>
      <c r="F41" s="176">
        <f t="shared" si="5"/>
        <v>285000</v>
      </c>
      <c r="G41" s="166">
        <f>'Раздел II обоснование (2019.) '!D147</f>
        <v>250000</v>
      </c>
      <c r="H41" s="166">
        <f>'Раздел II обоснование (2020) '!D146</f>
        <v>285000</v>
      </c>
      <c r="I41" s="166">
        <f>'Раздел II обоснование (2021)'!D146</f>
        <v>285000</v>
      </c>
      <c r="J41" s="333"/>
      <c r="K41" s="333"/>
      <c r="L41" s="334"/>
    </row>
    <row r="42" spans="1:12" s="131" customFormat="1" ht="18.75">
      <c r="A42" s="335" t="s">
        <v>353</v>
      </c>
      <c r="B42" s="332"/>
      <c r="C42" s="332"/>
      <c r="D42" s="176">
        <f t="shared" si="7"/>
        <v>75000</v>
      </c>
      <c r="E42" s="176">
        <f t="shared" si="7"/>
        <v>60000</v>
      </c>
      <c r="F42" s="176">
        <f t="shared" si="5"/>
        <v>60000</v>
      </c>
      <c r="G42" s="166">
        <f>'Раздел II обоснование (2019.) '!D148</f>
        <v>75000</v>
      </c>
      <c r="H42" s="166">
        <f>'Раздел II обоснование (2020) '!D147</f>
        <v>60000</v>
      </c>
      <c r="I42" s="166">
        <f>'Раздел II обоснование (2021)'!D147</f>
        <v>60000</v>
      </c>
      <c r="J42" s="333"/>
      <c r="K42" s="333"/>
      <c r="L42" s="334"/>
    </row>
    <row r="43" spans="1:12" ht="18.75">
      <c r="A43" s="294" t="s">
        <v>354</v>
      </c>
      <c r="B43" s="332"/>
      <c r="C43" s="332"/>
      <c r="D43" s="176">
        <f t="shared" si="7"/>
        <v>40000</v>
      </c>
      <c r="E43" s="176">
        <f t="shared" si="7"/>
        <v>50000</v>
      </c>
      <c r="F43" s="176">
        <f t="shared" si="5"/>
        <v>50000</v>
      </c>
      <c r="G43" s="166">
        <f>'Раздел II обоснование (2019.) '!D149</f>
        <v>40000</v>
      </c>
      <c r="H43" s="166">
        <f>'Раздел II обоснование (2020) '!D148</f>
        <v>50000</v>
      </c>
      <c r="I43" s="166">
        <f>'Раздел II обоснование (2021)'!D148</f>
        <v>50000</v>
      </c>
      <c r="J43" s="333"/>
      <c r="K43" s="333"/>
      <c r="L43" s="334"/>
    </row>
    <row r="44" spans="1:12" s="131" customFormat="1" ht="30" customHeight="1">
      <c r="A44" s="335" t="s">
        <v>426</v>
      </c>
      <c r="B44" s="332"/>
      <c r="C44" s="332"/>
      <c r="D44" s="176">
        <f>G44</f>
        <v>237740</v>
      </c>
      <c r="E44" s="176">
        <f t="shared" si="7"/>
        <v>567574.3</v>
      </c>
      <c r="F44" s="176">
        <f t="shared" si="5"/>
        <v>644928.46</v>
      </c>
      <c r="G44" s="166">
        <f>'Раздел II обоснование (2019.) '!D150</f>
        <v>237740</v>
      </c>
      <c r="H44" s="166">
        <f>'Раздел II обоснование (2020) '!D149</f>
        <v>567574.3</v>
      </c>
      <c r="I44" s="166">
        <f>'Раздел II обоснование (2021)'!D149</f>
        <v>644928.46</v>
      </c>
      <c r="J44" s="333"/>
      <c r="K44" s="333"/>
      <c r="L44" s="334"/>
    </row>
    <row r="45" spans="1:12" s="130" customFormat="1" ht="18.75">
      <c r="A45" s="294" t="s">
        <v>456</v>
      </c>
      <c r="B45" s="332"/>
      <c r="C45" s="332"/>
      <c r="D45" s="176">
        <f t="shared" si="3"/>
        <v>100000</v>
      </c>
      <c r="E45" s="176">
        <f t="shared" si="2"/>
        <v>52200</v>
      </c>
      <c r="F45" s="176">
        <f t="shared" si="5"/>
        <v>52200</v>
      </c>
      <c r="G45" s="166">
        <f>'Раздел II обоснование (2019.) '!D151</f>
        <v>100000</v>
      </c>
      <c r="H45" s="166">
        <f>'Раздел II обоснование (2020) '!D150</f>
        <v>52200</v>
      </c>
      <c r="I45" s="166">
        <f>'Раздел II обоснование (2021)'!D150</f>
        <v>52200</v>
      </c>
      <c r="J45" s="333"/>
      <c r="K45" s="333"/>
      <c r="L45" s="334"/>
    </row>
    <row r="46" spans="1:12" s="131" customFormat="1" ht="21" customHeight="1">
      <c r="A46" s="335" t="s">
        <v>362</v>
      </c>
      <c r="B46" s="332"/>
      <c r="C46" s="332"/>
      <c r="D46" s="176">
        <f aca="true" t="shared" si="8" ref="D46:E48">G46</f>
        <v>60000</v>
      </c>
      <c r="E46" s="176">
        <f t="shared" si="8"/>
        <v>60000</v>
      </c>
      <c r="F46" s="176">
        <f t="shared" si="5"/>
        <v>60000</v>
      </c>
      <c r="G46" s="166">
        <f>'Раздел II обоснование (2019.) '!D152</f>
        <v>60000</v>
      </c>
      <c r="H46" s="166">
        <f>'Раздел II обоснование (2020) '!D151</f>
        <v>60000</v>
      </c>
      <c r="I46" s="166">
        <f>'Раздел II обоснование (2021)'!D151</f>
        <v>60000</v>
      </c>
      <c r="J46" s="333"/>
      <c r="K46" s="333"/>
      <c r="L46" s="334"/>
    </row>
    <row r="47" spans="1:12" ht="42" customHeight="1">
      <c r="A47" s="294" t="s">
        <v>399</v>
      </c>
      <c r="B47" s="332"/>
      <c r="C47" s="332"/>
      <c r="D47" s="176">
        <f>G47</f>
        <v>805480</v>
      </c>
      <c r="E47" s="176">
        <f t="shared" si="8"/>
        <v>240960</v>
      </c>
      <c r="F47" s="176">
        <f>I47</f>
        <v>240960</v>
      </c>
      <c r="G47" s="166">
        <f>'Раздел II обоснование (2019.) '!E159+130000</f>
        <v>805480</v>
      </c>
      <c r="H47" s="166">
        <f>'Раздел II обоснование (2020) '!E158</f>
        <v>240960</v>
      </c>
      <c r="I47" s="166">
        <f>'Раздел II обоснование (2021)'!E158</f>
        <v>240960</v>
      </c>
      <c r="J47" s="333"/>
      <c r="K47" s="333"/>
      <c r="L47" s="334"/>
    </row>
    <row r="48" spans="1:12" s="144" customFormat="1" ht="76.5" customHeight="1" hidden="1">
      <c r="A48" s="294" t="s">
        <v>401</v>
      </c>
      <c r="B48" s="332"/>
      <c r="C48" s="332"/>
      <c r="D48" s="176">
        <f t="shared" si="8"/>
        <v>0</v>
      </c>
      <c r="E48" s="176">
        <f t="shared" si="8"/>
        <v>0</v>
      </c>
      <c r="F48" s="176">
        <f t="shared" si="5"/>
        <v>0</v>
      </c>
      <c r="G48" s="166">
        <v>0</v>
      </c>
      <c r="H48" s="166">
        <v>0</v>
      </c>
      <c r="I48" s="166">
        <v>0</v>
      </c>
      <c r="J48" s="333"/>
      <c r="K48" s="333"/>
      <c r="L48" s="334"/>
    </row>
    <row r="49" spans="1:12" ht="62.25" customHeight="1">
      <c r="A49" s="294" t="s">
        <v>400</v>
      </c>
      <c r="B49" s="332"/>
      <c r="C49" s="332"/>
      <c r="D49" s="176">
        <f>G49</f>
        <v>500000</v>
      </c>
      <c r="E49" s="176">
        <f t="shared" si="2"/>
        <v>310000</v>
      </c>
      <c r="F49" s="176">
        <f t="shared" si="5"/>
        <v>310000</v>
      </c>
      <c r="G49" s="166">
        <f>'Раздел II обоснование (2019.) '!E160</f>
        <v>500000</v>
      </c>
      <c r="H49" s="166">
        <f>'Раздел II обоснование (2020) '!E159</f>
        <v>310000</v>
      </c>
      <c r="I49" s="166">
        <f>'Раздел II обоснование (2021)'!E159</f>
        <v>310000</v>
      </c>
      <c r="J49" s="333"/>
      <c r="K49" s="333"/>
      <c r="L49" s="334"/>
    </row>
    <row r="50" spans="1:12" s="139" customFormat="1" ht="39.75" customHeight="1">
      <c r="A50" s="294" t="s">
        <v>358</v>
      </c>
      <c r="B50" s="332"/>
      <c r="C50" s="332"/>
      <c r="D50" s="176">
        <f>G50</f>
        <v>852000</v>
      </c>
      <c r="E50" s="176">
        <f aca="true" t="shared" si="9" ref="D50:F52">H50</f>
        <v>876968.73</v>
      </c>
      <c r="F50" s="176">
        <f t="shared" si="9"/>
        <v>871339.1799999999</v>
      </c>
      <c r="G50" s="166">
        <f>'Раздел II обоснование (2019.) '!E162</f>
        <v>852000</v>
      </c>
      <c r="H50" s="166">
        <f>'Раздел II обоснование (2020) '!E161</f>
        <v>876968.73</v>
      </c>
      <c r="I50" s="166">
        <f>'Раздел II обоснование (2021)'!E161</f>
        <v>871339.1799999999</v>
      </c>
      <c r="J50" s="333"/>
      <c r="K50" s="333"/>
      <c r="L50" s="334"/>
    </row>
    <row r="51" spans="1:12" s="150" customFormat="1" ht="39.75" customHeight="1">
      <c r="A51" s="294" t="s">
        <v>415</v>
      </c>
      <c r="B51" s="332"/>
      <c r="C51" s="332"/>
      <c r="D51" s="176">
        <f>G51</f>
        <v>4652274.830909092</v>
      </c>
      <c r="E51" s="176">
        <f>H51</f>
        <v>4611778.690909091</v>
      </c>
      <c r="F51" s="176">
        <f>I51</f>
        <v>4611778.690909091</v>
      </c>
      <c r="G51" s="166">
        <f>'Раздел II обоснование ПДД'!E161+40961.69</f>
        <v>4652274.830909092</v>
      </c>
      <c r="H51" s="166">
        <f>'Раздел IIобоснованиеПДД (2020.)'!E161</f>
        <v>4611778.690909091</v>
      </c>
      <c r="I51" s="166">
        <f>'Раздел IIобоснованиеПДД (2021)'!E161</f>
        <v>4611778.690909091</v>
      </c>
      <c r="J51" s="333"/>
      <c r="K51" s="333"/>
      <c r="L51" s="334"/>
    </row>
    <row r="52" spans="1:12" s="139" customFormat="1" ht="60.75" customHeight="1" thickBot="1">
      <c r="A52" s="336" t="s">
        <v>427</v>
      </c>
      <c r="B52" s="337"/>
      <c r="C52" s="337"/>
      <c r="D52" s="338">
        <f t="shared" si="9"/>
        <v>0</v>
      </c>
      <c r="E52" s="338">
        <f t="shared" si="9"/>
        <v>190000</v>
      </c>
      <c r="F52" s="338">
        <f t="shared" si="9"/>
        <v>190000</v>
      </c>
      <c r="G52" s="171">
        <f>'Раздел II обоснование (2019.) '!E163</f>
        <v>0</v>
      </c>
      <c r="H52" s="171">
        <f>'Раздел II обоснование (2020) '!E162</f>
        <v>190000</v>
      </c>
      <c r="I52" s="171">
        <f>'Раздел II обоснование (2021)'!E162</f>
        <v>190000</v>
      </c>
      <c r="J52" s="339"/>
      <c r="K52" s="339"/>
      <c r="L52" s="340"/>
    </row>
    <row r="53" spans="1:12" s="139" customFormat="1" ht="43.5" customHeight="1" hidden="1" thickBot="1">
      <c r="A53" s="137"/>
      <c r="B53" s="269"/>
      <c r="C53" s="269"/>
      <c r="D53" s="155"/>
      <c r="E53" s="155"/>
      <c r="F53" s="155"/>
      <c r="G53" s="155"/>
      <c r="H53" s="155"/>
      <c r="I53" s="155"/>
      <c r="J53" s="270"/>
      <c r="K53" s="270"/>
      <c r="L53" s="270"/>
    </row>
    <row r="54" spans="1:12" ht="19.5" hidden="1" thickBot="1">
      <c r="A54" s="129"/>
      <c r="B54" s="133"/>
      <c r="C54" s="133"/>
      <c r="D54" s="132">
        <f t="shared" si="3"/>
        <v>0</v>
      </c>
      <c r="E54" s="132">
        <f>H54</f>
        <v>0</v>
      </c>
      <c r="F54" s="135">
        <f>I54</f>
        <v>0</v>
      </c>
      <c r="G54" s="132"/>
      <c r="H54" s="132"/>
      <c r="I54" s="132"/>
      <c r="J54" s="136"/>
      <c r="K54" s="136"/>
      <c r="L54" s="136"/>
    </row>
  </sheetData>
  <sheetProtection/>
  <mergeCells count="10">
    <mergeCell ref="G8:I8"/>
    <mergeCell ref="J8:L8"/>
    <mergeCell ref="A3:L3"/>
    <mergeCell ref="A4:L4"/>
    <mergeCell ref="A6:A9"/>
    <mergeCell ref="B6:B9"/>
    <mergeCell ref="C6:C9"/>
    <mergeCell ref="D6:L6"/>
    <mergeCell ref="D7:F8"/>
    <mergeCell ref="G7:L7"/>
  </mergeCells>
  <hyperlinks>
    <hyperlink ref="G8" r:id="rId1" display="consultantplus://offline/ref=EC513630DD0A2F9B2EC0205798B851993A5256DB8AC84308CDDA19182EHCNCC"/>
    <hyperlink ref="J8" r:id="rId2" display="consultantplus://offline/ref=EC513630DD0A2F9B2EC0205798B851993A5256DC8DCE4308CDDA19182EHCNC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5"/>
  <rowBreaks count="1" manualBreakCount="1">
    <brk id="23" max="11" man="1"/>
  </rowBreaks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3:F24"/>
  <sheetViews>
    <sheetView view="pageBreakPreview" zoomScale="60" zoomScalePageLayoutView="0" workbookViewId="0" topLeftCell="A1">
      <selection activeCell="E34" sqref="E34"/>
    </sheetView>
  </sheetViews>
  <sheetFormatPr defaultColWidth="28.8515625" defaultRowHeight="15"/>
  <cols>
    <col min="1" max="1" width="38.8515625" style="125" customWidth="1"/>
    <col min="2" max="2" width="9.57421875" style="125" customWidth="1"/>
    <col min="3" max="3" width="27.7109375" style="125" customWidth="1"/>
    <col min="4" max="4" width="32.140625" style="125" customWidth="1"/>
    <col min="5" max="5" width="26.140625" style="125" customWidth="1"/>
    <col min="6" max="7" width="18.57421875" style="125" customWidth="1"/>
    <col min="8" max="8" width="21.140625" style="125" customWidth="1"/>
    <col min="9" max="9" width="19.8515625" style="125" customWidth="1"/>
    <col min="10" max="10" width="15.421875" style="125" customWidth="1"/>
    <col min="11" max="11" width="16.8515625" style="125" customWidth="1"/>
    <col min="12" max="12" width="23.8515625" style="125" customWidth="1"/>
    <col min="13" max="13" width="36.421875" style="125" customWidth="1"/>
    <col min="14" max="16384" width="28.8515625" style="125" customWidth="1"/>
  </cols>
  <sheetData>
    <row r="3" spans="2:6" ht="37.5" customHeight="1">
      <c r="B3" s="443" t="s">
        <v>391</v>
      </c>
      <c r="C3" s="443"/>
      <c r="D3" s="443"/>
      <c r="E3" s="443"/>
      <c r="F3" s="443"/>
    </row>
    <row r="4" spans="2:6" ht="18.75" customHeight="1">
      <c r="B4" s="443" t="s">
        <v>440</v>
      </c>
      <c r="C4" s="443"/>
      <c r="D4" s="443"/>
      <c r="E4" s="443"/>
      <c r="F4" s="443"/>
    </row>
    <row r="5" spans="2:6" ht="15">
      <c r="B5" s="456"/>
      <c r="C5" s="456"/>
      <c r="D5" s="456"/>
      <c r="E5" s="456"/>
      <c r="F5" s="456"/>
    </row>
    <row r="6" spans="2:6" ht="19.5" thickBot="1">
      <c r="B6" s="124"/>
      <c r="C6" s="124"/>
      <c r="D6" s="124"/>
      <c r="E6" s="125" t="s">
        <v>111</v>
      </c>
      <c r="F6" s="124"/>
    </row>
    <row r="7" spans="3:5" ht="75" customHeight="1">
      <c r="C7" s="450" t="s">
        <v>1</v>
      </c>
      <c r="D7" s="450" t="s">
        <v>42</v>
      </c>
      <c r="E7" s="450" t="s">
        <v>423</v>
      </c>
    </row>
    <row r="8" spans="3:5" ht="15.75" thickBot="1">
      <c r="C8" s="451"/>
      <c r="D8" s="451"/>
      <c r="E8" s="451"/>
    </row>
    <row r="9" spans="3:5" ht="19.5" thickBot="1">
      <c r="C9" s="122">
        <v>1</v>
      </c>
      <c r="D9" s="126">
        <v>2</v>
      </c>
      <c r="E9" s="126">
        <v>3</v>
      </c>
    </row>
    <row r="10" spans="3:5" ht="38.25" thickBot="1">
      <c r="C10" s="123" t="s">
        <v>51</v>
      </c>
      <c r="D10" s="126">
        <v>10</v>
      </c>
      <c r="E10" s="16">
        <v>142847.06</v>
      </c>
    </row>
    <row r="11" spans="3:5" ht="38.25" thickBot="1">
      <c r="C11" s="123" t="s">
        <v>91</v>
      </c>
      <c r="D11" s="126">
        <v>20</v>
      </c>
      <c r="E11" s="16">
        <f>E10+E12-E14</f>
        <v>114860.90999999999</v>
      </c>
    </row>
    <row r="12" spans="3:5" ht="19.5" thickBot="1">
      <c r="C12" s="123" t="s">
        <v>108</v>
      </c>
      <c r="D12" s="126">
        <v>30</v>
      </c>
      <c r="E12" s="16">
        <v>53459.99</v>
      </c>
    </row>
    <row r="13" spans="3:5" ht="19.5" thickBot="1">
      <c r="C13" s="123"/>
      <c r="D13" s="1"/>
      <c r="E13" s="16"/>
    </row>
    <row r="14" spans="3:5" ht="19.5" thickBot="1">
      <c r="C14" s="123" t="s">
        <v>109</v>
      </c>
      <c r="D14" s="126">
        <v>40</v>
      </c>
      <c r="E14" s="16">
        <v>81446.14</v>
      </c>
    </row>
    <row r="15" spans="3:5" ht="19.5" thickBot="1">
      <c r="C15" s="123"/>
      <c r="D15" s="1"/>
      <c r="E15" s="1"/>
    </row>
    <row r="17" ht="18.75">
      <c r="A17" s="6"/>
    </row>
    <row r="18" spans="1:5" ht="57" customHeight="1">
      <c r="A18" s="402" t="s">
        <v>377</v>
      </c>
      <c r="B18" s="402"/>
      <c r="C18" s="452" t="s">
        <v>425</v>
      </c>
      <c r="D18" s="452"/>
      <c r="E18" s="153" t="s">
        <v>435</v>
      </c>
    </row>
    <row r="19" spans="1:4" ht="26.25" customHeight="1">
      <c r="A19" s="6" t="s">
        <v>118</v>
      </c>
      <c r="C19" s="453" t="s">
        <v>116</v>
      </c>
      <c r="D19" s="453"/>
    </row>
    <row r="20" spans="1:4" ht="18.75">
      <c r="A20" s="6" t="s">
        <v>112</v>
      </c>
      <c r="B20" s="125" t="s">
        <v>114</v>
      </c>
      <c r="D20" s="13"/>
    </row>
    <row r="21" ht="18.75">
      <c r="A21" s="6" t="s">
        <v>113</v>
      </c>
    </row>
    <row r="22" ht="18.75">
      <c r="A22" s="6"/>
    </row>
    <row r="23" spans="1:6" ht="37.5" customHeight="1">
      <c r="A23" s="164" t="s">
        <v>115</v>
      </c>
      <c r="C23" s="454" t="s">
        <v>424</v>
      </c>
      <c r="D23" s="454"/>
      <c r="E23" s="455" t="s">
        <v>435</v>
      </c>
      <c r="F23" s="455"/>
    </row>
    <row r="24" spans="1:4" ht="45" customHeight="1">
      <c r="A24" s="6"/>
      <c r="C24" s="453" t="s">
        <v>117</v>
      </c>
      <c r="D24" s="453"/>
    </row>
  </sheetData>
  <sheetProtection/>
  <mergeCells count="12">
    <mergeCell ref="C24:D24"/>
    <mergeCell ref="B3:F3"/>
    <mergeCell ref="B4:F4"/>
    <mergeCell ref="B5:F5"/>
    <mergeCell ref="C7:C8"/>
    <mergeCell ref="D7:D8"/>
    <mergeCell ref="A18:B18"/>
    <mergeCell ref="E7:E8"/>
    <mergeCell ref="C18:D18"/>
    <mergeCell ref="C19:D19"/>
    <mergeCell ref="C23:D23"/>
    <mergeCell ref="E23:F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AE170"/>
  <sheetViews>
    <sheetView view="pageBreakPreview" zoomScale="70" zoomScaleNormal="72" zoomScaleSheetLayoutView="70" zoomScalePageLayoutView="0" workbookViewId="0" topLeftCell="A8">
      <selection activeCell="P22" sqref="P22"/>
    </sheetView>
  </sheetViews>
  <sheetFormatPr defaultColWidth="9.140625" defaultRowHeight="15"/>
  <cols>
    <col min="1" max="1" width="8.57421875" style="184" customWidth="1"/>
    <col min="2" max="2" width="30.140625" style="184" customWidth="1"/>
    <col min="3" max="3" width="23.28125" style="184" customWidth="1"/>
    <col min="4" max="4" width="20.421875" style="184" customWidth="1"/>
    <col min="5" max="5" width="21.7109375" style="184" customWidth="1"/>
    <col min="6" max="6" width="21.421875" style="184" customWidth="1"/>
    <col min="7" max="7" width="19.8515625" style="184" customWidth="1"/>
    <col min="8" max="8" width="17.28125" style="184" customWidth="1"/>
    <col min="9" max="9" width="16.421875" style="184" customWidth="1"/>
    <col min="10" max="10" width="21.140625" style="184" customWidth="1"/>
    <col min="11" max="12" width="18.00390625" style="184" customWidth="1"/>
    <col min="13" max="13" width="26.28125" style="184" customWidth="1"/>
    <col min="14" max="14" width="19.421875" style="184" customWidth="1"/>
    <col min="15" max="15" width="17.8515625" style="184" customWidth="1"/>
    <col min="16" max="16" width="16.140625" style="184" bestFit="1" customWidth="1"/>
    <col min="17" max="17" width="14.8515625" style="184" bestFit="1" customWidth="1"/>
    <col min="18" max="18" width="13.28125" style="184" customWidth="1"/>
    <col min="19" max="23" width="9.140625" style="184" customWidth="1"/>
    <col min="24" max="24" width="25.8515625" style="184" customWidth="1"/>
    <col min="25" max="25" width="18.7109375" style="184" customWidth="1"/>
    <col min="26" max="26" width="14.00390625" style="184" bestFit="1" customWidth="1"/>
    <col min="27" max="29" width="9.140625" style="184" customWidth="1"/>
    <col min="30" max="30" width="13.7109375" style="184" bestFit="1" customWidth="1"/>
    <col min="31" max="31" width="13.421875" style="184" bestFit="1" customWidth="1"/>
    <col min="32" max="16384" width="9.140625" style="184" customWidth="1"/>
  </cols>
  <sheetData>
    <row r="1" ht="18.75">
      <c r="J1" s="185" t="s">
        <v>119</v>
      </c>
    </row>
    <row r="2" ht="18.75">
      <c r="J2" s="185" t="s">
        <v>120</v>
      </c>
    </row>
    <row r="3" ht="16.5">
      <c r="J3" s="186" t="s">
        <v>121</v>
      </c>
    </row>
    <row r="4" ht="16.5">
      <c r="J4" s="186" t="s">
        <v>122</v>
      </c>
    </row>
    <row r="5" ht="16.5">
      <c r="J5" s="186" t="s">
        <v>123</v>
      </c>
    </row>
    <row r="6" ht="16.5">
      <c r="J6" s="186" t="s">
        <v>124</v>
      </c>
    </row>
    <row r="7" ht="16.5">
      <c r="J7" s="186" t="s">
        <v>125</v>
      </c>
    </row>
    <row r="8" ht="16.5">
      <c r="J8" s="186" t="s">
        <v>126</v>
      </c>
    </row>
    <row r="9" ht="15"/>
    <row r="10" ht="15"/>
    <row r="11" spans="1:10" ht="15" customHeight="1">
      <c r="A11" s="465" t="s">
        <v>414</v>
      </c>
      <c r="B11" s="465"/>
      <c r="C11" s="465"/>
      <c r="D11" s="465"/>
      <c r="E11" s="465"/>
      <c r="F11" s="465"/>
      <c r="G11" s="465"/>
      <c r="H11" s="465"/>
      <c r="I11" s="465"/>
      <c r="J11" s="465"/>
    </row>
    <row r="12" spans="1:10" ht="18.75">
      <c r="A12" s="187"/>
      <c r="B12" s="187"/>
      <c r="C12" s="188"/>
      <c r="D12" s="187"/>
      <c r="E12" s="187"/>
      <c r="F12" s="187"/>
      <c r="G12" s="187"/>
      <c r="H12" s="187"/>
      <c r="I12" s="187"/>
      <c r="J12" s="187"/>
    </row>
    <row r="13" spans="1:10" ht="18.75">
      <c r="A13" s="465" t="s">
        <v>127</v>
      </c>
      <c r="B13" s="465"/>
      <c r="C13" s="465"/>
      <c r="D13" s="465"/>
      <c r="E13" s="465"/>
      <c r="F13" s="465"/>
      <c r="G13" s="465"/>
      <c r="H13" s="465"/>
      <c r="I13" s="465"/>
      <c r="J13" s="465"/>
    </row>
    <row r="14" spans="1:10" ht="15">
      <c r="A14" s="187"/>
      <c r="B14" s="187"/>
      <c r="C14" s="187"/>
      <c r="D14" s="187"/>
      <c r="E14" s="187"/>
      <c r="F14" s="187"/>
      <c r="G14" s="187"/>
      <c r="H14" s="187"/>
      <c r="I14" s="187"/>
      <c r="J14" s="187"/>
    </row>
    <row r="15" spans="1:10" ht="18.75">
      <c r="A15" s="466" t="s">
        <v>306</v>
      </c>
      <c r="B15" s="466"/>
      <c r="C15" s="466"/>
      <c r="D15" s="466"/>
      <c r="E15" s="466"/>
      <c r="F15" s="466"/>
      <c r="G15" s="466"/>
      <c r="H15" s="466"/>
      <c r="I15" s="466"/>
      <c r="J15" s="466"/>
    </row>
    <row r="16" spans="1:10" ht="21" customHeight="1">
      <c r="A16" s="466" t="s">
        <v>307</v>
      </c>
      <c r="B16" s="466"/>
      <c r="C16" s="466"/>
      <c r="D16" s="466"/>
      <c r="E16" s="466"/>
      <c r="F16" s="466"/>
      <c r="G16" s="466"/>
      <c r="H16" s="466"/>
      <c r="I16" s="466"/>
      <c r="J16" s="466"/>
    </row>
    <row r="17" ht="18.75">
      <c r="A17" s="189"/>
    </row>
    <row r="18" spans="1:10" ht="18.75">
      <c r="A18" s="465" t="s">
        <v>128</v>
      </c>
      <c r="B18" s="465"/>
      <c r="C18" s="465"/>
      <c r="D18" s="465"/>
      <c r="E18" s="465"/>
      <c r="F18" s="465"/>
      <c r="G18" s="465"/>
      <c r="H18" s="465"/>
      <c r="I18" s="465"/>
      <c r="J18" s="465"/>
    </row>
    <row r="19" ht="15.75" thickBot="1"/>
    <row r="20" spans="1:24" ht="36" customHeight="1">
      <c r="A20" s="447" t="s">
        <v>0</v>
      </c>
      <c r="B20" s="423" t="s">
        <v>129</v>
      </c>
      <c r="C20" s="423" t="s">
        <v>385</v>
      </c>
      <c r="D20" s="423" t="s">
        <v>131</v>
      </c>
      <c r="E20" s="423"/>
      <c r="F20" s="423"/>
      <c r="G20" s="423"/>
      <c r="H20" s="423" t="s">
        <v>132</v>
      </c>
      <c r="I20" s="423" t="s">
        <v>133</v>
      </c>
      <c r="J20" s="426" t="s">
        <v>384</v>
      </c>
      <c r="K20" s="190"/>
      <c r="L20" s="191"/>
      <c r="X20" s="190"/>
    </row>
    <row r="21" spans="1:14" ht="18.75">
      <c r="A21" s="448"/>
      <c r="B21" s="424"/>
      <c r="C21" s="424"/>
      <c r="D21" s="424" t="s">
        <v>135</v>
      </c>
      <c r="E21" s="424" t="s">
        <v>22</v>
      </c>
      <c r="F21" s="424"/>
      <c r="G21" s="424"/>
      <c r="H21" s="424"/>
      <c r="I21" s="424"/>
      <c r="J21" s="427"/>
      <c r="M21" s="190"/>
      <c r="N21" s="192"/>
    </row>
    <row r="22" spans="1:14" ht="109.5" customHeight="1" thickBot="1">
      <c r="A22" s="449"/>
      <c r="B22" s="425"/>
      <c r="C22" s="425"/>
      <c r="D22" s="425"/>
      <c r="E22" s="236" t="s">
        <v>136</v>
      </c>
      <c r="F22" s="236" t="s">
        <v>137</v>
      </c>
      <c r="G22" s="236" t="s">
        <v>138</v>
      </c>
      <c r="H22" s="425"/>
      <c r="I22" s="425"/>
      <c r="J22" s="467"/>
      <c r="M22" s="457"/>
      <c r="N22" s="457"/>
    </row>
    <row r="23" spans="1:18" ht="18.75">
      <c r="A23" s="193">
        <v>1</v>
      </c>
      <c r="B23" s="194">
        <v>2</v>
      </c>
      <c r="C23" s="194">
        <v>3</v>
      </c>
      <c r="D23" s="194">
        <v>4</v>
      </c>
      <c r="E23" s="194">
        <v>5</v>
      </c>
      <c r="F23" s="194">
        <v>6</v>
      </c>
      <c r="G23" s="194">
        <v>7</v>
      </c>
      <c r="H23" s="194">
        <v>8</v>
      </c>
      <c r="I23" s="194">
        <v>9</v>
      </c>
      <c r="J23" s="195">
        <v>10</v>
      </c>
      <c r="L23" s="190"/>
      <c r="M23" s="358"/>
      <c r="N23" s="358"/>
      <c r="R23" s="219"/>
    </row>
    <row r="24" spans="1:28" ht="37.5">
      <c r="A24" s="196">
        <v>1</v>
      </c>
      <c r="B24" s="197" t="s">
        <v>308</v>
      </c>
      <c r="C24" s="197">
        <v>2</v>
      </c>
      <c r="D24" s="106">
        <f>(E24+F24+G24)</f>
        <v>39423.0863140625</v>
      </c>
      <c r="E24" s="106">
        <f>42450*1.043/C24</f>
        <v>22137.675</v>
      </c>
      <c r="F24" s="106"/>
      <c r="G24" s="361">
        <f>E24*K24-385.9201923+2884.615385</f>
        <v>17285.4113140625</v>
      </c>
      <c r="H24" s="106"/>
      <c r="I24" s="106">
        <v>1.6</v>
      </c>
      <c r="J24" s="198">
        <f>((D24*I24)+(D24))*C24*12-0.59</f>
        <v>2459999.9959975</v>
      </c>
      <c r="K24" s="184">
        <v>0.6679435</v>
      </c>
      <c r="L24" s="190">
        <f>J24/C24/12</f>
        <v>102499.99983322917</v>
      </c>
      <c r="M24" s="358">
        <v>2460000</v>
      </c>
      <c r="N24" s="358">
        <f>M24-J24</f>
        <v>0.004002499859780073</v>
      </c>
      <c r="O24" s="357"/>
      <c r="P24" s="190"/>
      <c r="Q24" s="190"/>
      <c r="R24" s="190"/>
      <c r="X24" s="190"/>
      <c r="Y24" s="190"/>
      <c r="AB24" s="184">
        <f aca="true" t="shared" si="0" ref="AB24:AB29">D24*2.6</f>
        <v>102500.0244165625</v>
      </c>
    </row>
    <row r="25" spans="1:28" ht="37.5">
      <c r="A25" s="196">
        <v>2</v>
      </c>
      <c r="B25" s="197" t="s">
        <v>309</v>
      </c>
      <c r="C25" s="197">
        <v>16.5</v>
      </c>
      <c r="D25" s="106">
        <f>(E25+F25+G25)</f>
        <v>24132.547384773978</v>
      </c>
      <c r="E25" s="106">
        <f>146769.67*1.043/C25</f>
        <v>9277.622170303031</v>
      </c>
      <c r="F25" s="106"/>
      <c r="G25" s="361">
        <f>E25*K25+E25*0.2+940.9067058+2146.19103-970.28147+485.62548+1179.3415</f>
        <v>14854.925214470946</v>
      </c>
      <c r="H25" s="106"/>
      <c r="I25" s="106">
        <v>1.6</v>
      </c>
      <c r="J25" s="198">
        <f>((D25*I25)+(D25))*C25*12-0.01+0.67</f>
        <v>12423436.053681646</v>
      </c>
      <c r="K25" s="184">
        <v>0.993532326</v>
      </c>
      <c r="L25" s="190">
        <f>J25/C25/12</f>
        <v>62744.62653374568</v>
      </c>
      <c r="M25" s="358">
        <v>12423436.05</v>
      </c>
      <c r="N25" s="358">
        <f>J25-M25</f>
        <v>0.0036816447973251343</v>
      </c>
      <c r="O25" s="357"/>
      <c r="P25" s="190"/>
      <c r="Q25" s="190"/>
      <c r="R25" s="190"/>
      <c r="X25" s="190"/>
      <c r="Y25" s="190"/>
      <c r="AB25" s="184">
        <f>D25*2.6</f>
        <v>62744.623200412345</v>
      </c>
    </row>
    <row r="26" spans="1:28" ht="37.5">
      <c r="A26" s="196">
        <v>3</v>
      </c>
      <c r="B26" s="197" t="s">
        <v>310</v>
      </c>
      <c r="C26" s="199">
        <v>12.42</v>
      </c>
      <c r="D26" s="106">
        <f>(E26+F26+G26)</f>
        <v>11609.407765460644</v>
      </c>
      <c r="E26" s="106">
        <f>67603.22*1.043/C26</f>
        <v>5677.146413848631</v>
      </c>
      <c r="F26" s="106"/>
      <c r="G26" s="361">
        <f>E26*K26-140.144654-121.3993214-105.1613088+1032.247409+1800</f>
        <v>5932.261351612013</v>
      </c>
      <c r="H26" s="106"/>
      <c r="I26" s="106">
        <v>1.6</v>
      </c>
      <c r="J26" s="198">
        <f>((D26*I26)+(D26))*C26*12+0.66</f>
        <v>4498692.606747061</v>
      </c>
      <c r="K26" s="184">
        <v>0.610644675</v>
      </c>
      <c r="L26" s="190">
        <f>J26/C26/12</f>
        <v>30184.46461853906</v>
      </c>
      <c r="M26" s="358">
        <v>9901552.51</v>
      </c>
      <c r="N26" s="358">
        <f>M26-J26-J27</f>
        <v>0.004252388142049313</v>
      </c>
      <c r="O26" s="357"/>
      <c r="P26" s="190"/>
      <c r="Q26" s="190"/>
      <c r="R26" s="190"/>
      <c r="X26" s="190"/>
      <c r="AB26" s="184">
        <f t="shared" si="0"/>
        <v>30184.460190197675</v>
      </c>
    </row>
    <row r="27" spans="1:31" ht="38.25" thickBot="1">
      <c r="A27" s="200">
        <v>4</v>
      </c>
      <c r="B27" s="201" t="s">
        <v>311</v>
      </c>
      <c r="C27" s="201">
        <v>17.27</v>
      </c>
      <c r="D27" s="202">
        <f>(E27+F27+G27)</f>
        <v>10027.119836905094</v>
      </c>
      <c r="E27" s="202">
        <f>59874.15*1.043/C27</f>
        <v>3616.024229878402</v>
      </c>
      <c r="F27" s="202">
        <f>(3295*1.043/165.5*365*8*35%/12)+(3295*1.043/165.5*12*24/12)</f>
        <v>2266.89695367573</v>
      </c>
      <c r="G27" s="202">
        <f>E27*K27-1319.1793591+1150.6556873+89.08289+912.75</f>
        <v>4144.198653350963</v>
      </c>
      <c r="H27" s="202"/>
      <c r="I27" s="202">
        <v>1.6</v>
      </c>
      <c r="J27" s="203">
        <f>((D27*I27)+(D27))*C27*12+6.2+0.88</f>
        <v>5402859.899000551</v>
      </c>
      <c r="K27" s="184">
        <v>0.915615943</v>
      </c>
      <c r="L27" s="190">
        <f>J27/C27/12</f>
        <v>26070.545739242185</v>
      </c>
      <c r="M27" s="358"/>
      <c r="N27" s="358"/>
      <c r="O27" s="357"/>
      <c r="P27" s="190"/>
      <c r="Q27" s="190"/>
      <c r="R27" s="190"/>
      <c r="X27" s="190"/>
      <c r="Y27" s="190"/>
      <c r="AB27" s="184">
        <f t="shared" si="0"/>
        <v>26070.511575953245</v>
      </c>
      <c r="AD27" s="190">
        <f>X27-J28</f>
        <v>-24784988.555426758</v>
      </c>
      <c r="AE27" s="205">
        <f>AD27-259000-100000</f>
        <v>-25143988.555426758</v>
      </c>
    </row>
    <row r="28" spans="1:28" ht="39.75" customHeight="1" thickBot="1">
      <c r="A28" s="468" t="s">
        <v>139</v>
      </c>
      <c r="B28" s="469"/>
      <c r="C28" s="207">
        <f>SUM(C24:C27)</f>
        <v>48.19</v>
      </c>
      <c r="D28" s="207">
        <f>SUM(D24:D27)</f>
        <v>85192.16130120223</v>
      </c>
      <c r="E28" s="207">
        <f>SUM(E24:E27)</f>
        <v>40708.46781403006</v>
      </c>
      <c r="F28" s="207">
        <f>SUM(F24:F27)</f>
        <v>2266.89695367573</v>
      </c>
      <c r="G28" s="207">
        <f>SUM(G24:G27)</f>
        <v>42216.796533496425</v>
      </c>
      <c r="H28" s="207" t="s">
        <v>140</v>
      </c>
      <c r="I28" s="207" t="s">
        <v>140</v>
      </c>
      <c r="J28" s="208">
        <f>SUM(J24:J27)</f>
        <v>24784988.555426758</v>
      </c>
      <c r="K28" s="190"/>
      <c r="L28" s="190"/>
      <c r="P28" s="190"/>
      <c r="Q28" s="190"/>
      <c r="R28" s="190"/>
      <c r="X28" s="190"/>
      <c r="AB28" s="184">
        <f t="shared" si="0"/>
        <v>221499.6193831258</v>
      </c>
    </row>
    <row r="29" spans="11:28" ht="15">
      <c r="K29" s="190"/>
      <c r="L29" s="190"/>
      <c r="M29" s="190"/>
      <c r="Q29" s="190"/>
      <c r="X29" s="192"/>
      <c r="Y29" s="190"/>
      <c r="AB29" s="184">
        <f t="shared" si="0"/>
        <v>0</v>
      </c>
    </row>
    <row r="30" spans="10:25" ht="15">
      <c r="J30" s="209"/>
      <c r="K30" s="190">
        <v>24784988.56</v>
      </c>
      <c r="L30" s="190" t="s">
        <v>445</v>
      </c>
      <c r="M30" s="231">
        <f>8520320.51+1232</f>
        <v>8521552.51</v>
      </c>
      <c r="N30" s="231">
        <f>16733436.05-470000</f>
        <v>16263436.05</v>
      </c>
      <c r="X30" s="190"/>
      <c r="Y30" s="190"/>
    </row>
    <row r="31" spans="1:24" ht="38.25" customHeight="1">
      <c r="A31" s="470" t="s">
        <v>183</v>
      </c>
      <c r="B31" s="470"/>
      <c r="C31" s="470"/>
      <c r="D31" s="470"/>
      <c r="E31" s="470"/>
      <c r="F31" s="470"/>
      <c r="J31" s="209"/>
      <c r="K31" s="190">
        <f>K30-J28</f>
        <v>0.004573240876197815</v>
      </c>
      <c r="L31" s="190" t="s">
        <v>446</v>
      </c>
      <c r="M31" s="231">
        <f>M30-J26-J27</f>
        <v>-1379999.9957476119</v>
      </c>
      <c r="N31" s="231">
        <f>N30-J24-J25</f>
        <v>1380000.0003208555</v>
      </c>
      <c r="O31" s="190">
        <f>N31+M31</f>
        <v>0.004573243670165539</v>
      </c>
      <c r="X31" s="190"/>
    </row>
    <row r="32" spans="12:24" ht="15.75" thickBot="1">
      <c r="L32" s="190"/>
      <c r="M32" s="231" t="s">
        <v>453</v>
      </c>
      <c r="N32" s="364" t="s">
        <v>454</v>
      </c>
      <c r="X32" s="190"/>
    </row>
    <row r="33" spans="1:26" ht="123" customHeight="1" thickBot="1">
      <c r="A33" s="233" t="s">
        <v>0</v>
      </c>
      <c r="B33" s="234" t="s">
        <v>141</v>
      </c>
      <c r="C33" s="234" t="s">
        <v>142</v>
      </c>
      <c r="D33" s="234" t="s">
        <v>143</v>
      </c>
      <c r="E33" s="234" t="s">
        <v>144</v>
      </c>
      <c r="F33" s="235" t="s">
        <v>145</v>
      </c>
      <c r="L33" s="190"/>
      <c r="M33" s="192"/>
      <c r="O33" s="190"/>
      <c r="P33" s="191"/>
      <c r="X33" s="190"/>
      <c r="Z33" s="210"/>
    </row>
    <row r="34" spans="1:13" ht="18.75">
      <c r="A34" s="193">
        <v>1</v>
      </c>
      <c r="B34" s="194">
        <v>2</v>
      </c>
      <c r="C34" s="194">
        <v>3</v>
      </c>
      <c r="D34" s="194">
        <v>4</v>
      </c>
      <c r="E34" s="194">
        <v>5</v>
      </c>
      <c r="F34" s="195">
        <v>6</v>
      </c>
      <c r="M34" s="190"/>
    </row>
    <row r="35" spans="1:25" ht="19.5" thickBot="1">
      <c r="A35" s="200">
        <v>1</v>
      </c>
      <c r="B35" s="201"/>
      <c r="C35" s="211">
        <v>0</v>
      </c>
      <c r="D35" s="211">
        <v>0</v>
      </c>
      <c r="E35" s="211">
        <v>0</v>
      </c>
      <c r="F35" s="212">
        <f>C35*D35*E35</f>
        <v>0</v>
      </c>
      <c r="Y35" s="190"/>
    </row>
    <row r="36" spans="1:25" s="238" customFormat="1" ht="19.5" thickBot="1">
      <c r="A36" s="458" t="s">
        <v>139</v>
      </c>
      <c r="B36" s="459"/>
      <c r="C36" s="239" t="s">
        <v>140</v>
      </c>
      <c r="D36" s="239" t="s">
        <v>140</v>
      </c>
      <c r="E36" s="239" t="s">
        <v>140</v>
      </c>
      <c r="F36" s="240">
        <f>F35</f>
        <v>0</v>
      </c>
      <c r="Y36" s="231"/>
    </row>
    <row r="37" ht="15"/>
    <row r="38" spans="1:6" ht="18.75">
      <c r="A38" s="470" t="s">
        <v>184</v>
      </c>
      <c r="B38" s="470"/>
      <c r="C38" s="470"/>
      <c r="D38" s="470"/>
      <c r="E38" s="470"/>
      <c r="F38" s="470"/>
    </row>
    <row r="39" ht="15.75" thickBot="1"/>
    <row r="40" spans="1:6" ht="124.5" customHeight="1" thickBot="1">
      <c r="A40" s="233" t="s">
        <v>0</v>
      </c>
      <c r="B40" s="234" t="s">
        <v>141</v>
      </c>
      <c r="C40" s="234" t="s">
        <v>146</v>
      </c>
      <c r="D40" s="234" t="s">
        <v>147</v>
      </c>
      <c r="E40" s="234" t="s">
        <v>148</v>
      </c>
      <c r="F40" s="235" t="s">
        <v>145</v>
      </c>
    </row>
    <row r="41" spans="1:6" ht="18.75">
      <c r="A41" s="193">
        <v>1</v>
      </c>
      <c r="B41" s="194">
        <v>2</v>
      </c>
      <c r="C41" s="194">
        <v>3</v>
      </c>
      <c r="D41" s="194">
        <v>4</v>
      </c>
      <c r="E41" s="194">
        <v>5</v>
      </c>
      <c r="F41" s="195">
        <v>6</v>
      </c>
    </row>
    <row r="42" spans="1:6" ht="51.75" customHeight="1" thickBot="1">
      <c r="A42" s="200">
        <v>1</v>
      </c>
      <c r="B42" s="201" t="s">
        <v>312</v>
      </c>
      <c r="C42" s="201">
        <v>3</v>
      </c>
      <c r="D42" s="201">
        <v>12</v>
      </c>
      <c r="E42" s="211">
        <v>90</v>
      </c>
      <c r="F42" s="203">
        <f>C42*D42*E42</f>
        <v>3240</v>
      </c>
    </row>
    <row r="43" spans="1:6" s="238" customFormat="1" ht="19.5" thickBot="1">
      <c r="A43" s="458" t="s">
        <v>139</v>
      </c>
      <c r="B43" s="459"/>
      <c r="C43" s="239" t="s">
        <v>140</v>
      </c>
      <c r="D43" s="239" t="s">
        <v>140</v>
      </c>
      <c r="E43" s="239" t="s">
        <v>140</v>
      </c>
      <c r="F43" s="241">
        <f>F42</f>
        <v>3240</v>
      </c>
    </row>
    <row r="44" ht="15"/>
    <row r="45" spans="1:5" ht="80.25" customHeight="1">
      <c r="A45" s="470" t="s">
        <v>185</v>
      </c>
      <c r="B45" s="470"/>
      <c r="C45" s="470"/>
      <c r="D45" s="470"/>
      <c r="E45" s="470"/>
    </row>
    <row r="46" ht="15.75" thickBot="1"/>
    <row r="47" spans="1:4" ht="144.75" customHeight="1" thickBot="1">
      <c r="A47" s="233" t="s">
        <v>0</v>
      </c>
      <c r="B47" s="234" t="s">
        <v>149</v>
      </c>
      <c r="C47" s="234" t="s">
        <v>150</v>
      </c>
      <c r="D47" s="235" t="s">
        <v>151</v>
      </c>
    </row>
    <row r="48" spans="1:4" ht="18.75">
      <c r="A48" s="193">
        <v>1</v>
      </c>
      <c r="B48" s="194">
        <v>2</v>
      </c>
      <c r="C48" s="194">
        <v>3</v>
      </c>
      <c r="D48" s="195">
        <v>4</v>
      </c>
    </row>
    <row r="49" spans="1:4" ht="113.25" customHeight="1">
      <c r="A49" s="196">
        <v>1</v>
      </c>
      <c r="B49" s="214" t="s">
        <v>152</v>
      </c>
      <c r="C49" s="197" t="s">
        <v>140</v>
      </c>
      <c r="D49" s="198">
        <f>D50+D52</f>
        <v>5451927.898455005</v>
      </c>
    </row>
    <row r="50" spans="1:4" ht="18.75">
      <c r="A50" s="471" t="s">
        <v>153</v>
      </c>
      <c r="B50" s="215" t="s">
        <v>22</v>
      </c>
      <c r="C50" s="435" t="s">
        <v>422</v>
      </c>
      <c r="D50" s="437">
        <f>7484296.96-D53-D54</f>
        <v>5451927.898455005</v>
      </c>
    </row>
    <row r="51" spans="1:4" ht="18.75">
      <c r="A51" s="471"/>
      <c r="B51" s="215" t="s">
        <v>154</v>
      </c>
      <c r="C51" s="435"/>
      <c r="D51" s="437"/>
    </row>
    <row r="52" spans="1:4" ht="18.75">
      <c r="A52" s="196" t="s">
        <v>155</v>
      </c>
      <c r="B52" s="214" t="s">
        <v>156</v>
      </c>
      <c r="C52" s="197" t="s">
        <v>422</v>
      </c>
      <c r="D52" s="198"/>
    </row>
    <row r="53" spans="1:11" ht="87.75" customHeight="1">
      <c r="A53" s="196">
        <v>2</v>
      </c>
      <c r="B53" s="214" t="s">
        <v>157</v>
      </c>
      <c r="C53" s="197" t="s">
        <v>140</v>
      </c>
      <c r="D53" s="198">
        <f>C54*3.1%</f>
        <v>768334.6452182295</v>
      </c>
      <c r="K53" s="190">
        <f>C54*0.302</f>
        <v>7485066.54373888</v>
      </c>
    </row>
    <row r="54" spans="1:11" ht="127.5" customHeight="1" thickBot="1">
      <c r="A54" s="200">
        <v>3</v>
      </c>
      <c r="B54" s="216" t="s">
        <v>158</v>
      </c>
      <c r="C54" s="202">
        <f>J28</f>
        <v>24784988.555426758</v>
      </c>
      <c r="D54" s="203">
        <f>C54*5.1%</f>
        <v>1264034.4163267645</v>
      </c>
      <c r="K54" s="190">
        <f>D55/J28*100</f>
        <v>30.196894960281462</v>
      </c>
    </row>
    <row r="55" spans="1:15" s="242" customFormat="1" ht="19.5" thickBot="1">
      <c r="A55" s="460" t="s">
        <v>139</v>
      </c>
      <c r="B55" s="461"/>
      <c r="C55" s="223" t="s">
        <v>140</v>
      </c>
      <c r="D55" s="208">
        <f>D50+D53+D54</f>
        <v>7484296.959999999</v>
      </c>
      <c r="K55" s="368">
        <f>7563745.66+235304.39-164849.09-149904</f>
        <v>7484296.96</v>
      </c>
      <c r="L55" s="370" t="s">
        <v>445</v>
      </c>
      <c r="M55" s="371">
        <f>J28+F43+D55+E65+E79+F91+E98+G110+E138+D153+E161+E164</f>
        <v>39941524.99532675</v>
      </c>
      <c r="N55" s="258">
        <f>40560197-618672</f>
        <v>39941525</v>
      </c>
      <c r="O55" s="371">
        <f>M55-N55-M56</f>
        <v>-0.009246490895748138</v>
      </c>
    </row>
    <row r="56" spans="11:14" ht="15">
      <c r="K56" s="369">
        <f>D55-K55</f>
        <v>0</v>
      </c>
      <c r="L56" s="366" t="s">
        <v>446</v>
      </c>
      <c r="M56" s="190">
        <f>K31+K56</f>
        <v>0.004573240876197815</v>
      </c>
      <c r="N56" s="190"/>
    </row>
    <row r="57" spans="1:6" ht="36" customHeight="1">
      <c r="A57" s="470" t="s">
        <v>186</v>
      </c>
      <c r="B57" s="470"/>
      <c r="C57" s="470"/>
      <c r="D57" s="470"/>
      <c r="E57" s="470"/>
      <c r="F57" s="470"/>
    </row>
    <row r="58" ht="15"/>
    <row r="59" spans="1:6" ht="18.75">
      <c r="A59" s="472" t="s">
        <v>402</v>
      </c>
      <c r="B59" s="472"/>
      <c r="C59" s="472"/>
      <c r="D59" s="472"/>
      <c r="E59" s="472"/>
      <c r="F59" s="472"/>
    </row>
    <row r="60" spans="1:6" ht="18.75">
      <c r="A60" s="472" t="s">
        <v>403</v>
      </c>
      <c r="B60" s="472"/>
      <c r="C60" s="472"/>
      <c r="D60" s="472"/>
      <c r="E60" s="472"/>
      <c r="F60" s="472"/>
    </row>
    <row r="61" ht="19.5" thickBot="1">
      <c r="A61" s="217"/>
    </row>
    <row r="62" spans="1:5" ht="108" customHeight="1" thickBot="1">
      <c r="A62" s="233" t="s">
        <v>0</v>
      </c>
      <c r="B62" s="234" t="s">
        <v>1</v>
      </c>
      <c r="C62" s="234" t="s">
        <v>159</v>
      </c>
      <c r="D62" s="234" t="s">
        <v>160</v>
      </c>
      <c r="E62" s="235" t="s">
        <v>161</v>
      </c>
    </row>
    <row r="63" spans="1:5" ht="18.75">
      <c r="A63" s="193">
        <v>1</v>
      </c>
      <c r="B63" s="194">
        <v>2</v>
      </c>
      <c r="C63" s="194">
        <v>3</v>
      </c>
      <c r="D63" s="194">
        <v>4</v>
      </c>
      <c r="E63" s="195">
        <v>5</v>
      </c>
    </row>
    <row r="64" spans="1:5" ht="94.5" thickBot="1">
      <c r="A64" s="200"/>
      <c r="B64" s="201" t="s">
        <v>404</v>
      </c>
      <c r="C64" s="201"/>
      <c r="D64" s="201"/>
      <c r="E64" s="203"/>
    </row>
    <row r="65" spans="1:5" s="238" customFormat="1" ht="19.5" thickBot="1">
      <c r="A65" s="458" t="s">
        <v>139</v>
      </c>
      <c r="B65" s="459"/>
      <c r="C65" s="239" t="s">
        <v>140</v>
      </c>
      <c r="D65" s="239" t="s">
        <v>140</v>
      </c>
      <c r="E65" s="243">
        <f>E64</f>
        <v>0</v>
      </c>
    </row>
    <row r="66" ht="15"/>
    <row r="67" ht="15"/>
    <row r="68" spans="1:7" ht="18.75">
      <c r="A68" s="465" t="s">
        <v>189</v>
      </c>
      <c r="B68" s="465"/>
      <c r="C68" s="465"/>
      <c r="D68" s="465"/>
      <c r="E68" s="465"/>
      <c r="F68" s="465"/>
      <c r="G68" s="465"/>
    </row>
    <row r="69" ht="18.75">
      <c r="A69" s="218"/>
    </row>
    <row r="70" ht="18.75">
      <c r="A70" s="217"/>
    </row>
    <row r="71" spans="1:7" ht="18.75">
      <c r="A71" s="472" t="s">
        <v>432</v>
      </c>
      <c r="B71" s="472"/>
      <c r="C71" s="472"/>
      <c r="D71" s="472"/>
      <c r="E71" s="472"/>
      <c r="F71" s="472"/>
      <c r="G71" s="472"/>
    </row>
    <row r="72" spans="1:7" ht="18.75">
      <c r="A72" s="472" t="s">
        <v>314</v>
      </c>
      <c r="B72" s="472"/>
      <c r="C72" s="472"/>
      <c r="D72" s="472"/>
      <c r="E72" s="472"/>
      <c r="F72" s="472"/>
      <c r="G72" s="472"/>
    </row>
    <row r="73" ht="19.5" thickBot="1">
      <c r="A73" s="217"/>
    </row>
    <row r="74" spans="1:5" ht="141.75" customHeight="1" thickBot="1">
      <c r="A74" s="233" t="s">
        <v>0</v>
      </c>
      <c r="B74" s="234" t="s">
        <v>141</v>
      </c>
      <c r="C74" s="234" t="s">
        <v>162</v>
      </c>
      <c r="D74" s="234" t="s">
        <v>163</v>
      </c>
      <c r="E74" s="235" t="s">
        <v>164</v>
      </c>
    </row>
    <row r="75" spans="1:5" ht="18.75">
      <c r="A75" s="193">
        <v>1</v>
      </c>
      <c r="B75" s="194">
        <v>2</v>
      </c>
      <c r="C75" s="194">
        <v>3</v>
      </c>
      <c r="D75" s="194">
        <v>4</v>
      </c>
      <c r="E75" s="195">
        <v>5</v>
      </c>
    </row>
    <row r="76" spans="1:24" ht="37.5">
      <c r="A76" s="196">
        <v>1</v>
      </c>
      <c r="B76" s="197" t="s">
        <v>315</v>
      </c>
      <c r="C76" s="247">
        <v>20343545.45</v>
      </c>
      <c r="D76" s="247">
        <v>2.2</v>
      </c>
      <c r="E76" s="248">
        <f>(C76*D76)/100</f>
        <v>447557.9999</v>
      </c>
      <c r="F76" s="365"/>
      <c r="H76" s="219"/>
      <c r="L76" s="190"/>
      <c r="X76" s="184">
        <f>105614.75/0.022</f>
        <v>4800670.454545455</v>
      </c>
    </row>
    <row r="77" spans="1:6" ht="27" customHeight="1">
      <c r="A77" s="200">
        <v>2</v>
      </c>
      <c r="B77" s="201" t="s">
        <v>316</v>
      </c>
      <c r="C77" s="249">
        <v>15361200</v>
      </c>
      <c r="D77" s="249">
        <v>1.5</v>
      </c>
      <c r="E77" s="250">
        <f>(C77*D77)/100</f>
        <v>230418</v>
      </c>
      <c r="F77" s="365"/>
    </row>
    <row r="78" spans="1:6" ht="27" customHeight="1" thickBot="1">
      <c r="A78" s="200">
        <v>3</v>
      </c>
      <c r="B78" s="201" t="s">
        <v>433</v>
      </c>
      <c r="C78" s="249">
        <v>0</v>
      </c>
      <c r="D78" s="249">
        <v>1</v>
      </c>
      <c r="E78" s="250">
        <f>C78*D78</f>
        <v>0</v>
      </c>
      <c r="F78" s="365"/>
    </row>
    <row r="79" spans="1:12" s="238" customFormat="1" ht="19.5" thickBot="1">
      <c r="A79" s="458" t="s">
        <v>139</v>
      </c>
      <c r="B79" s="459"/>
      <c r="C79" s="244" t="s">
        <v>422</v>
      </c>
      <c r="D79" s="244" t="s">
        <v>140</v>
      </c>
      <c r="E79" s="251">
        <f>E77+E76+E78</f>
        <v>677975.9998999999</v>
      </c>
      <c r="L79" s="231"/>
    </row>
    <row r="80" ht="15"/>
    <row r="81" spans="1:5" ht="18.75">
      <c r="A81" s="465" t="s">
        <v>317</v>
      </c>
      <c r="B81" s="465"/>
      <c r="C81" s="465"/>
      <c r="D81" s="465"/>
      <c r="E81" s="465"/>
    </row>
    <row r="82" ht="18.75">
      <c r="A82" s="218"/>
    </row>
    <row r="83" ht="18.75">
      <c r="A83" s="189" t="s">
        <v>417</v>
      </c>
    </row>
    <row r="84" spans="1:7" ht="18.75">
      <c r="A84" s="222" t="s">
        <v>314</v>
      </c>
      <c r="B84" s="222"/>
      <c r="C84" s="222"/>
      <c r="D84" s="222"/>
      <c r="E84" s="222"/>
      <c r="F84" s="222"/>
      <c r="G84" s="222"/>
    </row>
    <row r="85" ht="18.75">
      <c r="A85" s="189"/>
    </row>
    <row r="86" spans="1:6" ht="18.75">
      <c r="A86" s="465" t="s">
        <v>319</v>
      </c>
      <c r="B86" s="465"/>
      <c r="C86" s="465"/>
      <c r="D86" s="465"/>
      <c r="E86" s="465"/>
      <c r="F86" s="465"/>
    </row>
    <row r="87" ht="15.75" thickBot="1"/>
    <row r="88" spans="1:6" ht="57" thickBot="1">
      <c r="A88" s="233" t="s">
        <v>0</v>
      </c>
      <c r="B88" s="234" t="s">
        <v>141</v>
      </c>
      <c r="C88" s="234" t="s">
        <v>165</v>
      </c>
      <c r="D88" s="234" t="s">
        <v>166</v>
      </c>
      <c r="E88" s="234" t="s">
        <v>167</v>
      </c>
      <c r="F88" s="235" t="s">
        <v>145</v>
      </c>
    </row>
    <row r="89" spans="1:6" ht="18.75">
      <c r="A89" s="193">
        <v>1</v>
      </c>
      <c r="B89" s="194">
        <v>2</v>
      </c>
      <c r="C89" s="194">
        <v>3</v>
      </c>
      <c r="D89" s="194">
        <v>4</v>
      </c>
      <c r="E89" s="194">
        <v>5</v>
      </c>
      <c r="F89" s="195">
        <v>6</v>
      </c>
    </row>
    <row r="90" spans="1:6" s="238" customFormat="1" ht="38.25" thickBot="1">
      <c r="A90" s="200">
        <v>1</v>
      </c>
      <c r="B90" s="201" t="s">
        <v>320</v>
      </c>
      <c r="C90" s="201">
        <v>2</v>
      </c>
      <c r="D90" s="201">
        <v>12</v>
      </c>
      <c r="E90" s="245">
        <v>1000</v>
      </c>
      <c r="F90" s="246">
        <f>C90*D90*E90</f>
        <v>24000</v>
      </c>
    </row>
    <row r="91" spans="1:6" s="237" customFormat="1" ht="19.5" thickBot="1">
      <c r="A91" s="458" t="s">
        <v>139</v>
      </c>
      <c r="B91" s="459"/>
      <c r="C91" s="239" t="s">
        <v>140</v>
      </c>
      <c r="D91" s="239" t="s">
        <v>140</v>
      </c>
      <c r="E91" s="239" t="s">
        <v>140</v>
      </c>
      <c r="F91" s="251">
        <f>F90</f>
        <v>24000</v>
      </c>
    </row>
    <row r="92" ht="15"/>
    <row r="93" spans="1:6" ht="30" customHeight="1">
      <c r="A93" s="465" t="s">
        <v>321</v>
      </c>
      <c r="B93" s="465"/>
      <c r="C93" s="465"/>
      <c r="D93" s="465"/>
      <c r="E93" s="465"/>
      <c r="F93" s="465"/>
    </row>
    <row r="94" ht="15.75" thickBot="1"/>
    <row r="95" spans="1:5" ht="57" thickBot="1">
      <c r="A95" s="233" t="s">
        <v>0</v>
      </c>
      <c r="B95" s="234" t="s">
        <v>141</v>
      </c>
      <c r="C95" s="234" t="s">
        <v>168</v>
      </c>
      <c r="D95" s="234" t="s">
        <v>169</v>
      </c>
      <c r="E95" s="235" t="s">
        <v>170</v>
      </c>
    </row>
    <row r="96" spans="1:5" ht="18.75">
      <c r="A96" s="193">
        <v>1</v>
      </c>
      <c r="B96" s="194">
        <v>2</v>
      </c>
      <c r="C96" s="194">
        <v>3</v>
      </c>
      <c r="D96" s="194">
        <v>4</v>
      </c>
      <c r="E96" s="195">
        <v>5</v>
      </c>
    </row>
    <row r="97" spans="1:5" ht="19.5" thickBot="1">
      <c r="A97" s="200"/>
      <c r="B97" s="201"/>
      <c r="C97" s="211">
        <v>0</v>
      </c>
      <c r="D97" s="211">
        <v>0</v>
      </c>
      <c r="E97" s="212">
        <f>C97*D97</f>
        <v>0</v>
      </c>
    </row>
    <row r="98" spans="1:5" ht="19.5" thickBot="1">
      <c r="A98" s="460" t="s">
        <v>139</v>
      </c>
      <c r="B98" s="461"/>
      <c r="C98" s="223">
        <f>C97</f>
        <v>0</v>
      </c>
      <c r="D98" s="223">
        <f>D97</f>
        <v>0</v>
      </c>
      <c r="E98" s="213">
        <f>E97</f>
        <v>0</v>
      </c>
    </row>
    <row r="99" ht="15"/>
    <row r="100" spans="1:6" ht="18.75">
      <c r="A100" s="465" t="s">
        <v>322</v>
      </c>
      <c r="B100" s="465"/>
      <c r="C100" s="465"/>
      <c r="D100" s="465"/>
      <c r="E100" s="465"/>
      <c r="F100" s="465"/>
    </row>
    <row r="101" ht="15.75" thickBot="1"/>
    <row r="102" spans="1:7" ht="57" thickBot="1">
      <c r="A102" s="233" t="s">
        <v>0</v>
      </c>
      <c r="B102" s="234" t="s">
        <v>1</v>
      </c>
      <c r="C102" s="234" t="s">
        <v>323</v>
      </c>
      <c r="D102" s="234" t="s">
        <v>324</v>
      </c>
      <c r="E102" s="234" t="s">
        <v>171</v>
      </c>
      <c r="F102" s="234" t="s">
        <v>172</v>
      </c>
      <c r="G102" s="235" t="s">
        <v>173</v>
      </c>
    </row>
    <row r="103" spans="1:7" ht="18.75">
      <c r="A103" s="193">
        <v>1</v>
      </c>
      <c r="B103" s="194">
        <v>2</v>
      </c>
      <c r="C103" s="194">
        <v>3</v>
      </c>
      <c r="D103" s="194">
        <v>4</v>
      </c>
      <c r="E103" s="194">
        <v>5</v>
      </c>
      <c r="F103" s="194">
        <v>6</v>
      </c>
      <c r="G103" s="195">
        <v>7</v>
      </c>
    </row>
    <row r="104" spans="1:11" ht="47.25" customHeight="1">
      <c r="A104" s="196">
        <v>1</v>
      </c>
      <c r="B104" s="197" t="s">
        <v>325</v>
      </c>
      <c r="C104" s="199" t="s">
        <v>326</v>
      </c>
      <c r="D104" s="106">
        <v>171.86</v>
      </c>
      <c r="E104" s="106">
        <v>6476.864831839869</v>
      </c>
      <c r="F104" s="197"/>
      <c r="G104" s="255">
        <f aca="true" t="shared" si="1" ref="G104:G109">D104*E104</f>
        <v>1113113.99</v>
      </c>
      <c r="K104" s="224">
        <f>1113113.99/D104</f>
        <v>6476.864831839869</v>
      </c>
    </row>
    <row r="105" spans="1:11" ht="47.25" customHeight="1">
      <c r="A105" s="196">
        <v>2</v>
      </c>
      <c r="B105" s="197" t="s">
        <v>327</v>
      </c>
      <c r="C105" s="199" t="s">
        <v>326</v>
      </c>
      <c r="D105" s="106">
        <v>102.92</v>
      </c>
      <c r="E105" s="106">
        <v>9154.743198600856</v>
      </c>
      <c r="F105" s="197"/>
      <c r="G105" s="255">
        <f t="shared" si="1"/>
        <v>942206.1700000002</v>
      </c>
      <c r="K105" s="225">
        <f>942206.17/D105</f>
        <v>9154.743198600856</v>
      </c>
    </row>
    <row r="106" spans="1:11" ht="47.25" customHeight="1">
      <c r="A106" s="196">
        <v>3</v>
      </c>
      <c r="B106" s="197" t="s">
        <v>328</v>
      </c>
      <c r="C106" s="199" t="s">
        <v>382</v>
      </c>
      <c r="D106" s="106">
        <v>47073</v>
      </c>
      <c r="E106" s="106">
        <v>5.682297282943514</v>
      </c>
      <c r="F106" s="197"/>
      <c r="G106" s="255">
        <f t="shared" si="1"/>
        <v>267482.78</v>
      </c>
      <c r="K106" s="224">
        <f>267482.78/D106</f>
        <v>5.682297282943514</v>
      </c>
    </row>
    <row r="107" spans="1:11" ht="47.25" customHeight="1">
      <c r="A107" s="196">
        <v>4</v>
      </c>
      <c r="B107" s="197" t="s">
        <v>330</v>
      </c>
      <c r="C107" s="199" t="s">
        <v>331</v>
      </c>
      <c r="D107" s="106">
        <v>1184</v>
      </c>
      <c r="E107" s="106">
        <v>53.76869087837838</v>
      </c>
      <c r="F107" s="197"/>
      <c r="G107" s="255">
        <f t="shared" si="1"/>
        <v>63662.130000000005</v>
      </c>
      <c r="K107" s="225">
        <f>63662.13/D107</f>
        <v>53.76869087837838</v>
      </c>
    </row>
    <row r="108" spans="1:11" ht="47.25" customHeight="1">
      <c r="A108" s="196">
        <v>5</v>
      </c>
      <c r="B108" s="197" t="s">
        <v>332</v>
      </c>
      <c r="C108" s="199" t="s">
        <v>331</v>
      </c>
      <c r="D108" s="106">
        <v>1737.95</v>
      </c>
      <c r="E108" s="106">
        <v>44.060369976121294</v>
      </c>
      <c r="F108" s="197"/>
      <c r="G108" s="255">
        <f t="shared" si="1"/>
        <v>76574.72</v>
      </c>
      <c r="K108" s="225">
        <f>76574.72/D108</f>
        <v>44.060369976121294</v>
      </c>
    </row>
    <row r="109" spans="1:12" ht="47.25" customHeight="1" thickBot="1">
      <c r="A109" s="200">
        <v>6</v>
      </c>
      <c r="B109" s="201" t="s">
        <v>333</v>
      </c>
      <c r="C109" s="211" t="s">
        <v>331</v>
      </c>
      <c r="D109" s="202">
        <v>553.95</v>
      </c>
      <c r="E109" s="202">
        <v>69.1315100640852</v>
      </c>
      <c r="F109" s="201"/>
      <c r="G109" s="256">
        <f t="shared" si="1"/>
        <v>38295.4</v>
      </c>
      <c r="K109" s="225">
        <f>38295.4/D109</f>
        <v>69.1315100640852</v>
      </c>
      <c r="L109" s="366" t="s">
        <v>444</v>
      </c>
    </row>
    <row r="110" spans="1:12" s="237" customFormat="1" ht="19.5" thickBot="1">
      <c r="A110" s="458" t="s">
        <v>139</v>
      </c>
      <c r="B110" s="459"/>
      <c r="C110" s="239" t="s">
        <v>140</v>
      </c>
      <c r="D110" s="239" t="s">
        <v>140</v>
      </c>
      <c r="E110" s="239" t="s">
        <v>140</v>
      </c>
      <c r="F110" s="239" t="s">
        <v>140</v>
      </c>
      <c r="G110" s="257">
        <f>G109+G108+G107+G106+G105+G104</f>
        <v>2501335.1900000004</v>
      </c>
      <c r="L110" s="367">
        <v>2501335.19</v>
      </c>
    </row>
    <row r="112" spans="1:6" ht="18.75">
      <c r="A112" s="465" t="s">
        <v>334</v>
      </c>
      <c r="B112" s="465"/>
      <c r="C112" s="465"/>
      <c r="D112" s="465"/>
      <c r="E112" s="465"/>
      <c r="F112" s="189"/>
    </row>
    <row r="113" ht="15.75" thickBot="1"/>
    <row r="114" spans="1:5" ht="57" thickBot="1">
      <c r="A114" s="233" t="s">
        <v>0</v>
      </c>
      <c r="B114" s="234" t="s">
        <v>1</v>
      </c>
      <c r="C114" s="234" t="s">
        <v>174</v>
      </c>
      <c r="D114" s="234" t="s">
        <v>175</v>
      </c>
      <c r="E114" s="235" t="s">
        <v>176</v>
      </c>
    </row>
    <row r="115" spans="1:5" ht="18.75">
      <c r="A115" s="193">
        <v>1</v>
      </c>
      <c r="B115" s="194">
        <v>2</v>
      </c>
      <c r="C115" s="194">
        <v>3</v>
      </c>
      <c r="D115" s="194">
        <v>4</v>
      </c>
      <c r="E115" s="195">
        <v>5</v>
      </c>
    </row>
    <row r="116" spans="1:5" ht="19.5" thickBot="1">
      <c r="A116" s="200"/>
      <c r="B116" s="201"/>
      <c r="C116" s="201"/>
      <c r="D116" s="201"/>
      <c r="E116" s="226"/>
    </row>
    <row r="117" spans="1:5" s="237" customFormat="1" ht="19.5" thickBot="1">
      <c r="A117" s="463" t="s">
        <v>139</v>
      </c>
      <c r="B117" s="464"/>
      <c r="C117" s="252" t="s">
        <v>140</v>
      </c>
      <c r="D117" s="252" t="s">
        <v>140</v>
      </c>
      <c r="E117" s="253" t="s">
        <v>140</v>
      </c>
    </row>
    <row r="119" spans="1:5" ht="39.75" customHeight="1">
      <c r="A119" s="470" t="s">
        <v>335</v>
      </c>
      <c r="B119" s="470"/>
      <c r="C119" s="470"/>
      <c r="D119" s="470"/>
      <c r="E119" s="470"/>
    </row>
    <row r="120" ht="19.5" thickBot="1">
      <c r="A120" s="217"/>
    </row>
    <row r="121" spans="1:5" ht="38.25" thickBot="1">
      <c r="A121" s="233" t="s">
        <v>0</v>
      </c>
      <c r="B121" s="234" t="s">
        <v>141</v>
      </c>
      <c r="C121" s="234" t="s">
        <v>177</v>
      </c>
      <c r="D121" s="234" t="s">
        <v>178</v>
      </c>
      <c r="E121" s="235" t="s">
        <v>179</v>
      </c>
    </row>
    <row r="122" spans="1:5" ht="18.75">
      <c r="A122" s="193">
        <v>1</v>
      </c>
      <c r="B122" s="194">
        <v>2</v>
      </c>
      <c r="C122" s="194">
        <v>3</v>
      </c>
      <c r="D122" s="194">
        <v>4</v>
      </c>
      <c r="E122" s="195">
        <v>5</v>
      </c>
    </row>
    <row r="123" spans="1:5" ht="18.75">
      <c r="A123" s="196">
        <v>1</v>
      </c>
      <c r="B123" s="227" t="s">
        <v>336</v>
      </c>
      <c r="C123" s="197"/>
      <c r="D123" s="197">
        <v>12</v>
      </c>
      <c r="E123" s="248">
        <f>78884.38-6884.38</f>
        <v>72000</v>
      </c>
    </row>
    <row r="124" spans="1:5" ht="18.75">
      <c r="A124" s="196">
        <v>2</v>
      </c>
      <c r="B124" s="227" t="s">
        <v>337</v>
      </c>
      <c r="C124" s="197"/>
      <c r="D124" s="197">
        <v>12</v>
      </c>
      <c r="E124" s="248">
        <v>7800</v>
      </c>
    </row>
    <row r="125" spans="1:5" ht="18.75">
      <c r="A125" s="196">
        <v>3</v>
      </c>
      <c r="B125" s="227" t="s">
        <v>338</v>
      </c>
      <c r="C125" s="197"/>
      <c r="D125" s="197">
        <v>12</v>
      </c>
      <c r="E125" s="248">
        <v>60000</v>
      </c>
    </row>
    <row r="126" spans="1:5" ht="37.5">
      <c r="A126" s="196">
        <v>4</v>
      </c>
      <c r="B126" s="227" t="s">
        <v>339</v>
      </c>
      <c r="C126" s="197"/>
      <c r="D126" s="197">
        <v>12</v>
      </c>
      <c r="E126" s="248">
        <v>78000</v>
      </c>
    </row>
    <row r="127" spans="1:5" ht="39.75" customHeight="1">
      <c r="A127" s="196">
        <v>5</v>
      </c>
      <c r="B127" s="227" t="s">
        <v>395</v>
      </c>
      <c r="C127" s="197"/>
      <c r="D127" s="197">
        <v>12</v>
      </c>
      <c r="E127" s="248">
        <v>15000</v>
      </c>
    </row>
    <row r="128" spans="1:5" ht="56.25">
      <c r="A128" s="196">
        <v>6</v>
      </c>
      <c r="B128" s="227" t="s">
        <v>341</v>
      </c>
      <c r="C128" s="197"/>
      <c r="D128" s="197">
        <v>12</v>
      </c>
      <c r="E128" s="248">
        <v>30000</v>
      </c>
    </row>
    <row r="129" spans="1:5" ht="18.75">
      <c r="A129" s="196">
        <v>7</v>
      </c>
      <c r="B129" s="227" t="s">
        <v>342</v>
      </c>
      <c r="C129" s="197"/>
      <c r="D129" s="197"/>
      <c r="E129" s="248">
        <f>312249.41-62249.41</f>
        <v>249999.99999999997</v>
      </c>
    </row>
    <row r="130" spans="1:5" ht="37.5">
      <c r="A130" s="196">
        <v>8</v>
      </c>
      <c r="B130" s="227" t="s">
        <v>343</v>
      </c>
      <c r="C130" s="197"/>
      <c r="D130" s="197">
        <v>4</v>
      </c>
      <c r="E130" s="248">
        <v>10000</v>
      </c>
    </row>
    <row r="131" spans="1:5" ht="18.75">
      <c r="A131" s="196">
        <v>9</v>
      </c>
      <c r="B131" s="227" t="s">
        <v>456</v>
      </c>
      <c r="C131" s="197"/>
      <c r="D131" s="197">
        <v>1</v>
      </c>
      <c r="E131" s="248">
        <v>100000</v>
      </c>
    </row>
    <row r="132" spans="1:5" ht="37.5">
      <c r="A132" s="196">
        <v>10</v>
      </c>
      <c r="B132" s="227" t="s">
        <v>344</v>
      </c>
      <c r="C132" s="197"/>
      <c r="D132" s="197"/>
      <c r="E132" s="248">
        <v>368928.29</v>
      </c>
    </row>
    <row r="133" spans="1:5" ht="18.75">
      <c r="A133" s="196">
        <v>11</v>
      </c>
      <c r="B133" s="227" t="s">
        <v>412</v>
      </c>
      <c r="C133" s="197"/>
      <c r="D133" s="197"/>
      <c r="E133" s="248">
        <v>10000</v>
      </c>
    </row>
    <row r="134" spans="1:5" ht="37.5">
      <c r="A134" s="196">
        <v>12</v>
      </c>
      <c r="B134" s="227" t="s">
        <v>345</v>
      </c>
      <c r="C134" s="197"/>
      <c r="D134" s="197">
        <v>4</v>
      </c>
      <c r="E134" s="248">
        <v>10000</v>
      </c>
    </row>
    <row r="135" spans="1:5" ht="51" customHeight="1">
      <c r="A135" s="196">
        <v>13</v>
      </c>
      <c r="B135" s="227" t="s">
        <v>346</v>
      </c>
      <c r="C135" s="197"/>
      <c r="D135" s="197">
        <v>1</v>
      </c>
      <c r="E135" s="248">
        <v>30000</v>
      </c>
    </row>
    <row r="136" spans="1:5" ht="42" customHeight="1">
      <c r="A136" s="196">
        <v>14</v>
      </c>
      <c r="B136" s="227" t="s">
        <v>455</v>
      </c>
      <c r="C136" s="197"/>
      <c r="D136" s="197">
        <v>4</v>
      </c>
      <c r="E136" s="248">
        <v>120000</v>
      </c>
    </row>
    <row r="137" spans="1:5" ht="38.25" thickBot="1">
      <c r="A137" s="200">
        <v>15</v>
      </c>
      <c r="B137" s="228" t="s">
        <v>418</v>
      </c>
      <c r="C137" s="201"/>
      <c r="D137" s="201"/>
      <c r="E137" s="250">
        <f>249740+36000</f>
        <v>285740</v>
      </c>
    </row>
    <row r="138" spans="1:6" s="237" customFormat="1" ht="19.5" thickBot="1">
      <c r="A138" s="458" t="s">
        <v>139</v>
      </c>
      <c r="B138" s="459"/>
      <c r="C138" s="239" t="s">
        <v>140</v>
      </c>
      <c r="D138" s="239" t="s">
        <v>140</v>
      </c>
      <c r="E138" s="251">
        <f>SUM(E123:E137)</f>
        <v>1447468.29</v>
      </c>
      <c r="F138" s="254"/>
    </row>
    <row r="140" spans="1:5" ht="37.5" customHeight="1">
      <c r="A140" s="470" t="s">
        <v>348</v>
      </c>
      <c r="B140" s="470"/>
      <c r="C140" s="470"/>
      <c r="D140" s="470"/>
      <c r="E140" s="470"/>
    </row>
    <row r="141" ht="19.5" thickBot="1">
      <c r="A141" s="217"/>
    </row>
    <row r="142" spans="1:4" ht="38.25" thickBot="1">
      <c r="A142" s="233" t="s">
        <v>0</v>
      </c>
      <c r="B142" s="234" t="s">
        <v>141</v>
      </c>
      <c r="C142" s="234" t="s">
        <v>180</v>
      </c>
      <c r="D142" s="235" t="s">
        <v>181</v>
      </c>
    </row>
    <row r="143" spans="1:4" ht="18.75">
      <c r="A143" s="193">
        <v>1</v>
      </c>
      <c r="B143" s="194">
        <v>2</v>
      </c>
      <c r="C143" s="194">
        <v>3</v>
      </c>
      <c r="D143" s="195">
        <v>4</v>
      </c>
    </row>
    <row r="144" spans="1:4" ht="24.75" customHeight="1">
      <c r="A144" s="196">
        <v>1</v>
      </c>
      <c r="B144" s="227" t="s">
        <v>349</v>
      </c>
      <c r="C144" s="197">
        <v>1</v>
      </c>
      <c r="D144" s="248">
        <v>78000</v>
      </c>
    </row>
    <row r="145" spans="1:4" ht="42" customHeight="1">
      <c r="A145" s="196">
        <v>2</v>
      </c>
      <c r="B145" s="227" t="s">
        <v>350</v>
      </c>
      <c r="C145" s="197">
        <v>1</v>
      </c>
      <c r="D145" s="248">
        <v>120000</v>
      </c>
    </row>
    <row r="146" spans="1:4" ht="62.25" customHeight="1">
      <c r="A146" s="196">
        <v>3</v>
      </c>
      <c r="B146" s="227" t="s">
        <v>351</v>
      </c>
      <c r="C146" s="197"/>
      <c r="D146" s="248">
        <v>30000</v>
      </c>
    </row>
    <row r="147" spans="1:4" ht="24.75" customHeight="1">
      <c r="A147" s="196">
        <v>4</v>
      </c>
      <c r="B147" s="227" t="s">
        <v>352</v>
      </c>
      <c r="C147" s="197">
        <v>1</v>
      </c>
      <c r="D147" s="248">
        <v>250000</v>
      </c>
    </row>
    <row r="148" spans="1:4" ht="24.75" customHeight="1">
      <c r="A148" s="196">
        <v>5</v>
      </c>
      <c r="B148" s="227" t="s">
        <v>353</v>
      </c>
      <c r="C148" s="197"/>
      <c r="D148" s="248">
        <v>75000</v>
      </c>
    </row>
    <row r="149" spans="1:4" ht="18.75">
      <c r="A149" s="196">
        <v>6</v>
      </c>
      <c r="B149" s="227" t="s">
        <v>354</v>
      </c>
      <c r="C149" s="197"/>
      <c r="D149" s="248">
        <v>40000</v>
      </c>
    </row>
    <row r="150" spans="1:4" ht="18.75">
      <c r="A150" s="196">
        <v>7</v>
      </c>
      <c r="B150" s="227" t="s">
        <v>419</v>
      </c>
      <c r="C150" s="197"/>
      <c r="D150" s="248">
        <v>237740</v>
      </c>
    </row>
    <row r="151" spans="1:4" ht="18.75">
      <c r="A151" s="196">
        <v>8</v>
      </c>
      <c r="B151" s="227" t="s">
        <v>456</v>
      </c>
      <c r="C151" s="197">
        <v>1</v>
      </c>
      <c r="D151" s="248">
        <v>100000</v>
      </c>
    </row>
    <row r="152" spans="1:4" ht="19.5" thickBot="1">
      <c r="A152" s="200">
        <v>9</v>
      </c>
      <c r="B152" s="228" t="s">
        <v>362</v>
      </c>
      <c r="C152" s="201"/>
      <c r="D152" s="250">
        <v>60000</v>
      </c>
    </row>
    <row r="153" spans="1:4" s="237" customFormat="1" ht="19.5" thickBot="1">
      <c r="A153" s="458" t="s">
        <v>139</v>
      </c>
      <c r="B153" s="459"/>
      <c r="C153" s="239" t="s">
        <v>140</v>
      </c>
      <c r="D153" s="251">
        <f>D150+D149+D148+D147+D146+D145+D144+D151+D152</f>
        <v>990740</v>
      </c>
    </row>
    <row r="155" spans="1:6" ht="51" customHeight="1">
      <c r="A155" s="470" t="s">
        <v>355</v>
      </c>
      <c r="B155" s="470"/>
      <c r="C155" s="470"/>
      <c r="D155" s="470"/>
      <c r="E155" s="470"/>
      <c r="F155" s="470"/>
    </row>
    <row r="156" ht="15.75" thickBot="1"/>
    <row r="157" spans="1:5" ht="38.25" thickBot="1">
      <c r="A157" s="181" t="s">
        <v>0</v>
      </c>
      <c r="B157" s="182" t="s">
        <v>141</v>
      </c>
      <c r="C157" s="182" t="s">
        <v>174</v>
      </c>
      <c r="D157" s="182" t="s">
        <v>182</v>
      </c>
      <c r="E157" s="183" t="s">
        <v>421</v>
      </c>
    </row>
    <row r="158" spans="1:5" ht="18.75">
      <c r="A158" s="193"/>
      <c r="B158" s="194">
        <v>1</v>
      </c>
      <c r="C158" s="194">
        <v>2</v>
      </c>
      <c r="D158" s="194">
        <v>3</v>
      </c>
      <c r="E158" s="195">
        <v>4</v>
      </c>
    </row>
    <row r="159" spans="1:5" ht="46.5" customHeight="1">
      <c r="A159" s="200">
        <v>1</v>
      </c>
      <c r="B159" s="228" t="s">
        <v>356</v>
      </c>
      <c r="C159" s="201"/>
      <c r="D159" s="220">
        <f>200000+475480</f>
        <v>675480</v>
      </c>
      <c r="E159" s="178">
        <f>D159</f>
        <v>675480</v>
      </c>
    </row>
    <row r="160" spans="1:5" ht="59.25" customHeight="1" thickBot="1">
      <c r="A160" s="200">
        <v>2</v>
      </c>
      <c r="B160" s="228" t="s">
        <v>434</v>
      </c>
      <c r="C160" s="201"/>
      <c r="D160" s="220">
        <v>500000</v>
      </c>
      <c r="E160" s="178">
        <f>D160</f>
        <v>500000</v>
      </c>
    </row>
    <row r="161" spans="1:5" ht="25.5" customHeight="1" thickBot="1">
      <c r="A161" s="460" t="s">
        <v>357</v>
      </c>
      <c r="B161" s="461"/>
      <c r="C161" s="206" t="s">
        <v>422</v>
      </c>
      <c r="D161" s="221">
        <f>D159+D160</f>
        <v>1175480</v>
      </c>
      <c r="E161" s="179">
        <f>E159+E160</f>
        <v>1175480</v>
      </c>
    </row>
    <row r="162" spans="1:5" ht="49.5" customHeight="1">
      <c r="A162" s="193">
        <v>1</v>
      </c>
      <c r="B162" s="229" t="s">
        <v>358</v>
      </c>
      <c r="C162" s="194"/>
      <c r="D162" s="230">
        <f>10000+120000+300000+100000+316000+6000</f>
        <v>852000</v>
      </c>
      <c r="E162" s="180">
        <f>D162</f>
        <v>852000</v>
      </c>
    </row>
    <row r="163" spans="1:13" ht="85.5" customHeight="1" thickBot="1">
      <c r="A163" s="200">
        <v>2</v>
      </c>
      <c r="B163" s="228" t="s">
        <v>359</v>
      </c>
      <c r="C163" s="201"/>
      <c r="D163" s="220">
        <v>0</v>
      </c>
      <c r="E163" s="178">
        <f>D163</f>
        <v>0</v>
      </c>
      <c r="K163" s="366" t="s">
        <v>443</v>
      </c>
      <c r="L163" s="258"/>
      <c r="M163" s="258"/>
    </row>
    <row r="164" spans="1:13" ht="30.75" customHeight="1" thickBot="1">
      <c r="A164" s="460" t="s">
        <v>360</v>
      </c>
      <c r="B164" s="461"/>
      <c r="C164" s="206" t="s">
        <v>422</v>
      </c>
      <c r="D164" s="221">
        <f>D162+D163</f>
        <v>852000</v>
      </c>
      <c r="E164" s="179">
        <f>E163+E162</f>
        <v>852000</v>
      </c>
      <c r="K164" s="190">
        <f>F43+F91+E138+D153+E161+E164</f>
        <v>4492928.29</v>
      </c>
      <c r="L164" s="258"/>
      <c r="M164" s="258"/>
    </row>
    <row r="165" spans="11:13" ht="15">
      <c r="K165" s="190">
        <f>3989688.29+500000+3240</f>
        <v>4492928.29</v>
      </c>
      <c r="L165" s="258"/>
      <c r="M165" s="258"/>
    </row>
    <row r="166" spans="11:13" ht="15">
      <c r="K166" s="190">
        <f>K165-K164</f>
        <v>0</v>
      </c>
      <c r="L166" s="258"/>
      <c r="M166" s="258"/>
    </row>
    <row r="167" spans="11:13" ht="15">
      <c r="K167" s="190"/>
      <c r="L167" s="258"/>
      <c r="M167" s="258"/>
    </row>
    <row r="168" spans="12:13" ht="15">
      <c r="L168" s="258"/>
      <c r="M168" s="258"/>
    </row>
    <row r="169" spans="1:5" s="232" customFormat="1" ht="18.75">
      <c r="A169" s="462" t="s">
        <v>420</v>
      </c>
      <c r="B169" s="462"/>
      <c r="C169" s="462"/>
      <c r="D169" s="462"/>
      <c r="E169" s="462"/>
    </row>
    <row r="170" spans="1:5" ht="18.75">
      <c r="A170" s="462" t="s">
        <v>435</v>
      </c>
      <c r="B170" s="462"/>
      <c r="C170" s="462"/>
      <c r="D170" s="462"/>
      <c r="E170" s="462"/>
    </row>
  </sheetData>
  <sheetProtection/>
  <mergeCells count="51">
    <mergeCell ref="A169:E169"/>
    <mergeCell ref="A138:B138"/>
    <mergeCell ref="A81:E81"/>
    <mergeCell ref="A155:F155"/>
    <mergeCell ref="A86:F86"/>
    <mergeCell ref="A93:F93"/>
    <mergeCell ref="A100:F100"/>
    <mergeCell ref="A112:E112"/>
    <mergeCell ref="A119:E119"/>
    <mergeCell ref="A140:E140"/>
    <mergeCell ref="A57:F57"/>
    <mergeCell ref="A59:F59"/>
    <mergeCell ref="A60:F60"/>
    <mergeCell ref="A68:G68"/>
    <mergeCell ref="A71:G71"/>
    <mergeCell ref="A72:G72"/>
    <mergeCell ref="A28:B28"/>
    <mergeCell ref="A31:F31"/>
    <mergeCell ref="A38:F38"/>
    <mergeCell ref="A45:E45"/>
    <mergeCell ref="A50:A51"/>
    <mergeCell ref="C50:C51"/>
    <mergeCell ref="D50:D51"/>
    <mergeCell ref="B20:B22"/>
    <mergeCell ref="C20:C22"/>
    <mergeCell ref="D20:G20"/>
    <mergeCell ref="H20:H22"/>
    <mergeCell ref="I20:I22"/>
    <mergeCell ref="J20:J22"/>
    <mergeCell ref="D21:D22"/>
    <mergeCell ref="E21:G21"/>
    <mergeCell ref="A91:B91"/>
    <mergeCell ref="A98:B98"/>
    <mergeCell ref="A110:B110"/>
    <mergeCell ref="A117:B117"/>
    <mergeCell ref="A11:J11"/>
    <mergeCell ref="A13:J13"/>
    <mergeCell ref="A15:J15"/>
    <mergeCell ref="A16:J16"/>
    <mergeCell ref="A18:J18"/>
    <mergeCell ref="A20:A22"/>
    <mergeCell ref="M22:N22"/>
    <mergeCell ref="A153:B153"/>
    <mergeCell ref="A161:B161"/>
    <mergeCell ref="A164:B164"/>
    <mergeCell ref="A170:E170"/>
    <mergeCell ref="A55:B55"/>
    <mergeCell ref="A36:B36"/>
    <mergeCell ref="A43:B43"/>
    <mergeCell ref="A65:B65"/>
    <mergeCell ref="A79:B79"/>
  </mergeCells>
  <printOptions/>
  <pageMargins left="0.7" right="0.7" top="0.75" bottom="0.75" header="0.3" footer="0.3"/>
  <pageSetup horizontalDpi="600" verticalDpi="600" orientation="landscape" paperSize="9" scale="38" r:id="rId3"/>
  <rowBreaks count="4" manualBreakCount="4">
    <brk id="36" max="9" man="1"/>
    <brk id="66" max="9" man="1"/>
    <brk id="111" max="9" man="1"/>
    <brk id="153" max="9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S165"/>
  <sheetViews>
    <sheetView view="pageBreakPreview" zoomScale="60" zoomScalePageLayoutView="0" workbookViewId="0" topLeftCell="A1">
      <selection activeCell="M174" sqref="M174"/>
    </sheetView>
  </sheetViews>
  <sheetFormatPr defaultColWidth="9.140625" defaultRowHeight="15"/>
  <cols>
    <col min="1" max="1" width="8.57421875" style="0" customWidth="1"/>
    <col min="2" max="2" width="34.8515625" style="0" customWidth="1"/>
    <col min="3" max="3" width="16.421875" style="0" customWidth="1"/>
    <col min="4" max="4" width="17.140625" style="0" customWidth="1"/>
    <col min="5" max="5" width="19.8515625" style="0" customWidth="1"/>
    <col min="6" max="6" width="21.421875" style="0" customWidth="1"/>
    <col min="7" max="7" width="19.8515625" style="0" customWidth="1"/>
    <col min="8" max="8" width="15.421875" style="0" customWidth="1"/>
    <col min="9" max="9" width="15.00390625" style="0" customWidth="1"/>
    <col min="10" max="10" width="21.140625" style="0" customWidth="1"/>
    <col min="12" max="12" width="25.8515625" style="0" customWidth="1"/>
    <col min="13" max="13" width="18.7109375" style="0" customWidth="1"/>
    <col min="14" max="14" width="9.421875" style="0" bestFit="1" customWidth="1"/>
    <col min="18" max="19" width="13.421875" style="0" bestFit="1" customWidth="1"/>
  </cols>
  <sheetData>
    <row r="1" ht="18.75">
      <c r="J1" s="8" t="s">
        <v>190</v>
      </c>
    </row>
    <row r="2" ht="18.75">
      <c r="J2" s="8" t="s">
        <v>120</v>
      </c>
    </row>
    <row r="3" ht="16.5">
      <c r="J3" s="17" t="s">
        <v>121</v>
      </c>
    </row>
    <row r="4" ht="16.5">
      <c r="J4" s="17" t="s">
        <v>122</v>
      </c>
    </row>
    <row r="5" ht="16.5">
      <c r="J5" s="17" t="s">
        <v>123</v>
      </c>
    </row>
    <row r="6" ht="16.5">
      <c r="J6" s="17" t="s">
        <v>124</v>
      </c>
    </row>
    <row r="7" ht="16.5">
      <c r="J7" s="17" t="s">
        <v>125</v>
      </c>
    </row>
    <row r="8" ht="16.5">
      <c r="J8" s="17" t="s">
        <v>126</v>
      </c>
    </row>
    <row r="11" spans="1:10" ht="22.5" customHeight="1">
      <c r="A11" s="444" t="s">
        <v>414</v>
      </c>
      <c r="B11" s="444"/>
      <c r="C11" s="444"/>
      <c r="D11" s="444"/>
      <c r="E11" s="444"/>
      <c r="F11" s="444"/>
      <c r="G11" s="444"/>
      <c r="H11" s="444"/>
      <c r="I11" s="444"/>
      <c r="J11" s="444"/>
    </row>
    <row r="12" spans="1:10" ht="18.75" hidden="1">
      <c r="A12" s="66"/>
      <c r="B12" s="66"/>
      <c r="C12" s="67"/>
      <c r="D12" s="66"/>
      <c r="E12" s="66"/>
      <c r="F12" s="66"/>
      <c r="G12" s="66"/>
      <c r="H12" s="66"/>
      <c r="I12" s="66"/>
      <c r="J12" s="66"/>
    </row>
    <row r="13" spans="1:10" ht="18.75" hidden="1">
      <c r="A13" s="444" t="s">
        <v>127</v>
      </c>
      <c r="B13" s="444"/>
      <c r="C13" s="444"/>
      <c r="D13" s="444"/>
      <c r="E13" s="444"/>
      <c r="F13" s="444"/>
      <c r="G13" s="444"/>
      <c r="H13" s="444"/>
      <c r="I13" s="444"/>
      <c r="J13" s="444"/>
    </row>
    <row r="14" spans="1:10" ht="15" hidden="1">
      <c r="A14" s="66"/>
      <c r="B14" s="66"/>
      <c r="C14" s="66"/>
      <c r="D14" s="66"/>
      <c r="E14" s="66"/>
      <c r="F14" s="66"/>
      <c r="G14" s="66"/>
      <c r="H14" s="66"/>
      <c r="I14" s="66"/>
      <c r="J14" s="66"/>
    </row>
    <row r="15" spans="1:10" ht="18.75" hidden="1">
      <c r="A15" s="411" t="s">
        <v>306</v>
      </c>
      <c r="B15" s="411"/>
      <c r="C15" s="411"/>
      <c r="D15" s="411"/>
      <c r="E15" s="411"/>
      <c r="F15" s="411"/>
      <c r="G15" s="411"/>
      <c r="H15" s="411"/>
      <c r="I15" s="411"/>
      <c r="J15" s="411"/>
    </row>
    <row r="16" spans="1:10" ht="21" customHeight="1" hidden="1">
      <c r="A16" s="411" t="s">
        <v>307</v>
      </c>
      <c r="B16" s="411"/>
      <c r="C16" s="411"/>
      <c r="D16" s="411"/>
      <c r="E16" s="411"/>
      <c r="F16" s="411"/>
      <c r="G16" s="411"/>
      <c r="H16" s="411"/>
      <c r="I16" s="411"/>
      <c r="J16" s="411"/>
    </row>
    <row r="17" ht="18.75" hidden="1">
      <c r="A17" s="18"/>
    </row>
    <row r="18" spans="1:10" ht="18.75" hidden="1">
      <c r="A18" s="444" t="s">
        <v>128</v>
      </c>
      <c r="B18" s="444"/>
      <c r="C18" s="444"/>
      <c r="D18" s="444"/>
      <c r="E18" s="444"/>
      <c r="F18" s="444"/>
      <c r="G18" s="444"/>
      <c r="H18" s="444"/>
      <c r="I18" s="444"/>
      <c r="J18" s="444"/>
    </row>
    <row r="19" ht="15.75" hidden="1" thickBot="1">
      <c r="I19">
        <v>1.6</v>
      </c>
    </row>
    <row r="20" spans="1:10" ht="36" customHeight="1" hidden="1" thickBot="1">
      <c r="A20" s="482" t="s">
        <v>0</v>
      </c>
      <c r="B20" s="482" t="s">
        <v>129</v>
      </c>
      <c r="C20" s="482" t="s">
        <v>130</v>
      </c>
      <c r="D20" s="485" t="s">
        <v>131</v>
      </c>
      <c r="E20" s="486"/>
      <c r="F20" s="486"/>
      <c r="G20" s="487"/>
      <c r="H20" s="482" t="s">
        <v>132</v>
      </c>
      <c r="I20" s="482" t="s">
        <v>133</v>
      </c>
      <c r="J20" s="482" t="s">
        <v>134</v>
      </c>
    </row>
    <row r="21" spans="1:10" ht="19.5" hidden="1" thickBot="1">
      <c r="A21" s="483"/>
      <c r="B21" s="483"/>
      <c r="C21" s="483"/>
      <c r="D21" s="482" t="s">
        <v>135</v>
      </c>
      <c r="E21" s="485" t="s">
        <v>22</v>
      </c>
      <c r="F21" s="486"/>
      <c r="G21" s="487"/>
      <c r="H21" s="483"/>
      <c r="I21" s="483"/>
      <c r="J21" s="483"/>
    </row>
    <row r="22" spans="1:10" ht="109.5" customHeight="1" hidden="1" thickBot="1">
      <c r="A22" s="484"/>
      <c r="B22" s="484"/>
      <c r="C22" s="484"/>
      <c r="D22" s="484"/>
      <c r="E22" s="65" t="s">
        <v>136</v>
      </c>
      <c r="F22" s="65" t="s">
        <v>137</v>
      </c>
      <c r="G22" s="65" t="s">
        <v>138</v>
      </c>
      <c r="H22" s="484"/>
      <c r="I22" s="484"/>
      <c r="J22" s="484"/>
    </row>
    <row r="23" spans="1:10" ht="19.5" hidden="1" thickBot="1">
      <c r="A23" s="63">
        <v>1</v>
      </c>
      <c r="B23" s="65">
        <v>2</v>
      </c>
      <c r="C23" s="65">
        <v>3</v>
      </c>
      <c r="D23" s="65">
        <v>4</v>
      </c>
      <c r="E23" s="65">
        <v>5</v>
      </c>
      <c r="F23" s="65">
        <v>6</v>
      </c>
      <c r="G23" s="65">
        <v>7</v>
      </c>
      <c r="H23" s="65">
        <v>8</v>
      </c>
      <c r="I23" s="65">
        <v>9</v>
      </c>
      <c r="J23" s="65">
        <v>10</v>
      </c>
    </row>
    <row r="24" spans="1:13" ht="38.25" hidden="1" thickBot="1">
      <c r="A24" s="63"/>
      <c r="B24" s="63" t="s">
        <v>308</v>
      </c>
      <c r="C24" s="65"/>
      <c r="D24" s="16"/>
      <c r="E24" s="16"/>
      <c r="F24" s="16"/>
      <c r="G24" s="16"/>
      <c r="H24" s="16"/>
      <c r="I24" s="16"/>
      <c r="J24" s="16"/>
      <c r="L24" s="68"/>
      <c r="M24" s="68"/>
    </row>
    <row r="25" spans="1:13" ht="19.5" hidden="1" thickBot="1">
      <c r="A25" s="63"/>
      <c r="B25" s="63" t="s">
        <v>309</v>
      </c>
      <c r="C25" s="65"/>
      <c r="D25" s="16"/>
      <c r="E25" s="16"/>
      <c r="F25" s="16"/>
      <c r="G25" s="16"/>
      <c r="H25" s="69"/>
      <c r="I25" s="16"/>
      <c r="J25" s="16"/>
      <c r="L25" s="68"/>
      <c r="M25" s="68"/>
    </row>
    <row r="26" spans="1:12" ht="38.25" hidden="1" thickBot="1">
      <c r="A26" s="64"/>
      <c r="B26" s="63" t="s">
        <v>310</v>
      </c>
      <c r="C26" s="65"/>
      <c r="D26" s="16"/>
      <c r="E26" s="16"/>
      <c r="F26" s="16"/>
      <c r="G26" s="16"/>
      <c r="H26" s="16"/>
      <c r="I26" s="16"/>
      <c r="J26" s="16"/>
      <c r="L26" s="68"/>
    </row>
    <row r="27" spans="1:19" ht="19.5" hidden="1" thickBot="1">
      <c r="A27" s="64"/>
      <c r="B27" s="63" t="s">
        <v>311</v>
      </c>
      <c r="C27" s="65"/>
      <c r="D27" s="16"/>
      <c r="E27" s="70"/>
      <c r="F27" s="70"/>
      <c r="G27" s="16"/>
      <c r="H27" s="65"/>
      <c r="I27" s="16"/>
      <c r="J27" s="16"/>
      <c r="L27" s="68"/>
      <c r="M27" s="68"/>
      <c r="R27" s="68">
        <f>L27-J28</f>
        <v>0</v>
      </c>
      <c r="S27" s="71">
        <f>R27-259000-100000</f>
        <v>-359000</v>
      </c>
    </row>
    <row r="28" spans="1:12" ht="39.75" customHeight="1" hidden="1" thickBot="1">
      <c r="A28" s="488" t="s">
        <v>139</v>
      </c>
      <c r="B28" s="489"/>
      <c r="C28" s="72" t="s">
        <v>140</v>
      </c>
      <c r="D28" s="72"/>
      <c r="E28" s="72" t="s">
        <v>140</v>
      </c>
      <c r="F28" s="72" t="s">
        <v>140</v>
      </c>
      <c r="G28" s="72" t="s">
        <v>140</v>
      </c>
      <c r="H28" s="73" t="s">
        <v>140</v>
      </c>
      <c r="I28" s="72" t="s">
        <v>140</v>
      </c>
      <c r="J28" s="74">
        <f>SUM(J24:J27)</f>
        <v>0</v>
      </c>
      <c r="L28" s="68"/>
    </row>
    <row r="29" spans="12:13" ht="15" hidden="1">
      <c r="L29" s="75"/>
      <c r="M29" s="68"/>
    </row>
    <row r="30" spans="12:13" ht="15" hidden="1">
      <c r="L30" s="68"/>
      <c r="M30" s="68"/>
    </row>
    <row r="31" spans="1:12" s="76" customFormat="1" ht="38.25" customHeight="1" hidden="1">
      <c r="A31" s="475" t="s">
        <v>183</v>
      </c>
      <c r="B31" s="475"/>
      <c r="C31" s="475"/>
      <c r="D31" s="475"/>
      <c r="E31" s="475"/>
      <c r="F31" s="475"/>
      <c r="L31" s="77"/>
    </row>
    <row r="32" s="76" customFormat="1" ht="15.75" hidden="1" thickBot="1">
      <c r="L32" s="77"/>
    </row>
    <row r="33" spans="1:12" s="76" customFormat="1" ht="123" customHeight="1" hidden="1" thickBot="1">
      <c r="A33" s="78" t="s">
        <v>0</v>
      </c>
      <c r="B33" s="79" t="s">
        <v>141</v>
      </c>
      <c r="C33" s="79" t="s">
        <v>142</v>
      </c>
      <c r="D33" s="79" t="s">
        <v>143</v>
      </c>
      <c r="E33" s="79" t="s">
        <v>144</v>
      </c>
      <c r="F33" s="79" t="s">
        <v>145</v>
      </c>
      <c r="L33" s="77"/>
    </row>
    <row r="34" spans="1:6" s="76" customFormat="1" ht="19.5" hidden="1" thickBot="1">
      <c r="A34" s="87">
        <v>1</v>
      </c>
      <c r="B34" s="58">
        <v>2</v>
      </c>
      <c r="C34" s="58">
        <v>3</v>
      </c>
      <c r="D34" s="58">
        <v>4</v>
      </c>
      <c r="E34" s="58">
        <v>5</v>
      </c>
      <c r="F34" s="58">
        <v>6</v>
      </c>
    </row>
    <row r="35" spans="1:6" s="76" customFormat="1" ht="19.5" hidden="1" thickBot="1">
      <c r="A35" s="87">
        <v>1</v>
      </c>
      <c r="B35" s="58"/>
      <c r="C35" s="80">
        <v>0</v>
      </c>
      <c r="D35" s="80">
        <v>0</v>
      </c>
      <c r="E35" s="80">
        <v>0</v>
      </c>
      <c r="F35" s="80">
        <f>C35*D35*E35</f>
        <v>0</v>
      </c>
    </row>
    <row r="36" spans="1:6" s="76" customFormat="1" ht="19.5" hidden="1" thickBot="1">
      <c r="A36" s="87"/>
      <c r="B36" s="81" t="s">
        <v>139</v>
      </c>
      <c r="C36" s="82" t="s">
        <v>140</v>
      </c>
      <c r="D36" s="82" t="s">
        <v>140</v>
      </c>
      <c r="E36" s="82" t="s">
        <v>140</v>
      </c>
      <c r="F36" s="83">
        <f>F35</f>
        <v>0</v>
      </c>
    </row>
    <row r="37" s="76" customFormat="1" ht="15" hidden="1"/>
    <row r="38" spans="1:6" s="76" customFormat="1" ht="18.75" hidden="1">
      <c r="A38" s="475" t="s">
        <v>184</v>
      </c>
      <c r="B38" s="475"/>
      <c r="C38" s="475"/>
      <c r="D38" s="475"/>
      <c r="E38" s="475"/>
      <c r="F38" s="475"/>
    </row>
    <row r="39" s="76" customFormat="1" ht="15.75" hidden="1" thickBot="1"/>
    <row r="40" spans="1:6" s="76" customFormat="1" ht="124.5" customHeight="1" hidden="1" thickBot="1">
      <c r="A40" s="78" t="s">
        <v>0</v>
      </c>
      <c r="B40" s="79" t="s">
        <v>141</v>
      </c>
      <c r="C40" s="79" t="s">
        <v>146</v>
      </c>
      <c r="D40" s="79" t="s">
        <v>147</v>
      </c>
      <c r="E40" s="79" t="s">
        <v>148</v>
      </c>
      <c r="F40" s="79" t="s">
        <v>145</v>
      </c>
    </row>
    <row r="41" spans="1:6" s="76" customFormat="1" ht="19.5" hidden="1" thickBot="1">
      <c r="A41" s="87">
        <v>1</v>
      </c>
      <c r="B41" s="58">
        <v>2</v>
      </c>
      <c r="C41" s="58">
        <v>3</v>
      </c>
      <c r="D41" s="58">
        <v>4</v>
      </c>
      <c r="E41" s="58">
        <v>5</v>
      </c>
      <c r="F41" s="58">
        <v>6</v>
      </c>
    </row>
    <row r="42" spans="1:6" s="76" customFormat="1" ht="51.75" customHeight="1" hidden="1" thickBot="1">
      <c r="A42" s="87">
        <v>1</v>
      </c>
      <c r="B42" s="58" t="s">
        <v>312</v>
      </c>
      <c r="C42" s="58"/>
      <c r="D42" s="58"/>
      <c r="E42" s="80"/>
      <c r="F42" s="80">
        <f>C42*D42*E42</f>
        <v>0</v>
      </c>
    </row>
    <row r="43" spans="1:6" s="76" customFormat="1" ht="19.5" hidden="1" thickBot="1">
      <c r="A43" s="87"/>
      <c r="B43" s="81" t="s">
        <v>139</v>
      </c>
      <c r="C43" s="82" t="s">
        <v>140</v>
      </c>
      <c r="D43" s="82" t="s">
        <v>140</v>
      </c>
      <c r="E43" s="82" t="s">
        <v>140</v>
      </c>
      <c r="F43" s="84">
        <f>F42</f>
        <v>0</v>
      </c>
    </row>
    <row r="44" s="76" customFormat="1" ht="15" hidden="1"/>
    <row r="45" spans="1:5" s="76" customFormat="1" ht="80.25" customHeight="1" hidden="1">
      <c r="A45" s="475" t="s">
        <v>185</v>
      </c>
      <c r="B45" s="475"/>
      <c r="C45" s="475"/>
      <c r="D45" s="475"/>
      <c r="E45" s="475"/>
    </row>
    <row r="46" s="76" customFormat="1" ht="15.75" hidden="1" thickBot="1"/>
    <row r="47" spans="1:4" s="76" customFormat="1" ht="144.75" customHeight="1" hidden="1" thickBot="1">
      <c r="A47" s="78" t="s">
        <v>0</v>
      </c>
      <c r="B47" s="79" t="s">
        <v>149</v>
      </c>
      <c r="C47" s="79" t="s">
        <v>150</v>
      </c>
      <c r="D47" s="79" t="s">
        <v>151</v>
      </c>
    </row>
    <row r="48" spans="1:4" s="76" customFormat="1" ht="19.5" hidden="1" thickBot="1">
      <c r="A48" s="87">
        <v>1</v>
      </c>
      <c r="B48" s="58">
        <v>2</v>
      </c>
      <c r="C48" s="58">
        <v>3</v>
      </c>
      <c r="D48" s="58">
        <v>4</v>
      </c>
    </row>
    <row r="49" spans="1:4" s="76" customFormat="1" ht="113.25" customHeight="1" hidden="1" thickBot="1">
      <c r="A49" s="87">
        <v>1</v>
      </c>
      <c r="B49" s="85" t="s">
        <v>152</v>
      </c>
      <c r="C49" s="58" t="s">
        <v>140</v>
      </c>
      <c r="D49" s="59"/>
    </row>
    <row r="50" spans="1:4" s="76" customFormat="1" ht="18.75" hidden="1">
      <c r="A50" s="478" t="s">
        <v>153</v>
      </c>
      <c r="B50" s="86" t="s">
        <v>22</v>
      </c>
      <c r="C50" s="478"/>
      <c r="D50" s="480"/>
    </row>
    <row r="51" spans="1:4" s="76" customFormat="1" ht="19.5" hidden="1" thickBot="1">
      <c r="A51" s="479"/>
      <c r="B51" s="88" t="s">
        <v>154</v>
      </c>
      <c r="C51" s="479"/>
      <c r="D51" s="481"/>
    </row>
    <row r="52" spans="1:4" s="76" customFormat="1" ht="19.5" hidden="1" thickBot="1">
      <c r="A52" s="87" t="s">
        <v>155</v>
      </c>
      <c r="B52" s="89" t="s">
        <v>156</v>
      </c>
      <c r="C52" s="58"/>
      <c r="D52" s="59"/>
    </row>
    <row r="53" spans="1:4" s="76" customFormat="1" ht="120.75" customHeight="1" hidden="1" thickBot="1">
      <c r="A53" s="87">
        <v>2</v>
      </c>
      <c r="B53" s="85" t="s">
        <v>157</v>
      </c>
      <c r="C53" s="58" t="s">
        <v>140</v>
      </c>
      <c r="D53" s="59"/>
    </row>
    <row r="54" spans="1:4" s="76" customFormat="1" ht="164.25" customHeight="1" hidden="1" thickBot="1">
      <c r="A54" s="87">
        <v>3</v>
      </c>
      <c r="B54" s="85" t="s">
        <v>158</v>
      </c>
      <c r="C54" s="59">
        <f>J28</f>
        <v>0</v>
      </c>
      <c r="D54" s="59">
        <f>C54*5.1%</f>
        <v>0</v>
      </c>
    </row>
    <row r="55" spans="1:4" s="76" customFormat="1" ht="19.5" hidden="1" thickBot="1">
      <c r="A55" s="87"/>
      <c r="B55" s="81" t="s">
        <v>139</v>
      </c>
      <c r="C55" s="82" t="s">
        <v>140</v>
      </c>
      <c r="D55" s="90">
        <f>D50+D53+D54</f>
        <v>0</v>
      </c>
    </row>
    <row r="56" s="76" customFormat="1" ht="15" hidden="1"/>
    <row r="57" spans="1:6" s="76" customFormat="1" ht="36" customHeight="1" hidden="1">
      <c r="A57" s="475" t="s">
        <v>186</v>
      </c>
      <c r="B57" s="475"/>
      <c r="C57" s="475"/>
      <c r="D57" s="475"/>
      <c r="E57" s="475"/>
      <c r="F57" s="475"/>
    </row>
    <row r="58" s="76" customFormat="1" ht="15" hidden="1"/>
    <row r="59" spans="1:6" s="76" customFormat="1" ht="18.75" hidden="1">
      <c r="A59" s="476" t="s">
        <v>187</v>
      </c>
      <c r="B59" s="476"/>
      <c r="C59" s="476"/>
      <c r="D59" s="476"/>
      <c r="E59" s="476"/>
      <c r="F59" s="476"/>
    </row>
    <row r="60" spans="1:6" s="76" customFormat="1" ht="18.75" hidden="1">
      <c r="A60" s="476" t="s">
        <v>188</v>
      </c>
      <c r="B60" s="476"/>
      <c r="C60" s="476"/>
      <c r="D60" s="476"/>
      <c r="E60" s="476"/>
      <c r="F60" s="476"/>
    </row>
    <row r="61" s="76" customFormat="1" ht="19.5" hidden="1" thickBot="1">
      <c r="A61" s="91"/>
    </row>
    <row r="62" spans="1:5" s="76" customFormat="1" ht="108" customHeight="1" hidden="1" thickBot="1">
      <c r="A62" s="78" t="s">
        <v>0</v>
      </c>
      <c r="B62" s="79" t="s">
        <v>1</v>
      </c>
      <c r="C62" s="79" t="s">
        <v>159</v>
      </c>
      <c r="D62" s="79" t="s">
        <v>160</v>
      </c>
      <c r="E62" s="79" t="s">
        <v>161</v>
      </c>
    </row>
    <row r="63" spans="1:5" s="76" customFormat="1" ht="19.5" hidden="1" thickBot="1">
      <c r="A63" s="87">
        <v>1</v>
      </c>
      <c r="B63" s="58">
        <v>2</v>
      </c>
      <c r="C63" s="58">
        <v>3</v>
      </c>
      <c r="D63" s="58">
        <v>4</v>
      </c>
      <c r="E63" s="58">
        <v>5</v>
      </c>
    </row>
    <row r="64" spans="1:5" s="76" customFormat="1" ht="19.5" hidden="1" thickBot="1">
      <c r="A64" s="87"/>
      <c r="B64" s="58"/>
      <c r="C64" s="58"/>
      <c r="D64" s="58"/>
      <c r="E64" s="58"/>
    </row>
    <row r="65" spans="1:5" s="76" customFormat="1" ht="19.5" hidden="1" thickBot="1">
      <c r="A65" s="87"/>
      <c r="B65" s="81" t="s">
        <v>139</v>
      </c>
      <c r="C65" s="82" t="s">
        <v>140</v>
      </c>
      <c r="D65" s="82" t="s">
        <v>140</v>
      </c>
      <c r="E65" s="82"/>
    </row>
    <row r="66" s="76" customFormat="1" ht="15" hidden="1"/>
    <row r="67" s="76" customFormat="1" ht="15" hidden="1"/>
    <row r="68" s="76" customFormat="1" ht="15" hidden="1"/>
    <row r="69" s="76" customFormat="1" ht="15" hidden="1"/>
    <row r="70" spans="1:7" s="76" customFormat="1" ht="18.75" hidden="1">
      <c r="A70" s="477" t="s">
        <v>408</v>
      </c>
      <c r="B70" s="477"/>
      <c r="C70" s="477"/>
      <c r="D70" s="477"/>
      <c r="E70" s="477"/>
      <c r="F70" s="477"/>
      <c r="G70" s="477"/>
    </row>
    <row r="71" s="76" customFormat="1" ht="18.75" hidden="1">
      <c r="A71" s="92"/>
    </row>
    <row r="72" s="76" customFormat="1" ht="18.75" hidden="1">
      <c r="A72" s="91"/>
    </row>
    <row r="73" spans="1:7" s="76" customFormat="1" ht="18.75" hidden="1">
      <c r="A73" s="476" t="s">
        <v>405</v>
      </c>
      <c r="B73" s="476"/>
      <c r="C73" s="476"/>
      <c r="D73" s="476"/>
      <c r="E73" s="476"/>
      <c r="F73" s="476"/>
      <c r="G73" s="476"/>
    </row>
    <row r="74" spans="1:7" s="76" customFormat="1" ht="18.75" hidden="1">
      <c r="A74" s="476" t="s">
        <v>406</v>
      </c>
      <c r="B74" s="476"/>
      <c r="C74" s="476"/>
      <c r="D74" s="476"/>
      <c r="E74" s="476"/>
      <c r="F74" s="476"/>
      <c r="G74" s="476"/>
    </row>
    <row r="75" s="76" customFormat="1" ht="19.5" hidden="1" thickBot="1">
      <c r="A75" s="91"/>
    </row>
    <row r="76" spans="1:5" s="76" customFormat="1" ht="141.75" customHeight="1" hidden="1" thickBot="1">
      <c r="A76" s="78" t="s">
        <v>0</v>
      </c>
      <c r="B76" s="79" t="s">
        <v>141</v>
      </c>
      <c r="C76" s="79" t="s">
        <v>162</v>
      </c>
      <c r="D76" s="79" t="s">
        <v>163</v>
      </c>
      <c r="E76" s="79" t="s">
        <v>164</v>
      </c>
    </row>
    <row r="77" spans="1:5" s="76" customFormat="1" ht="19.5" hidden="1" thickBot="1">
      <c r="A77" s="87">
        <v>1</v>
      </c>
      <c r="B77" s="58">
        <v>2</v>
      </c>
      <c r="C77" s="58">
        <v>3</v>
      </c>
      <c r="D77" s="58">
        <v>4</v>
      </c>
      <c r="E77" s="58">
        <v>5</v>
      </c>
    </row>
    <row r="78" spans="1:8" s="76" customFormat="1" ht="19.5" hidden="1" thickBot="1">
      <c r="A78" s="87">
        <v>1</v>
      </c>
      <c r="B78" s="58" t="s">
        <v>407</v>
      </c>
      <c r="C78" s="93"/>
      <c r="D78" s="93"/>
      <c r="E78" s="93">
        <v>0</v>
      </c>
      <c r="H78" s="94"/>
    </row>
    <row r="79" spans="1:5" s="76" customFormat="1" ht="27" customHeight="1" hidden="1" thickBot="1">
      <c r="A79" s="87">
        <v>2</v>
      </c>
      <c r="B79" s="58" t="s">
        <v>316</v>
      </c>
      <c r="C79" s="93"/>
      <c r="D79" s="93"/>
      <c r="E79" s="93"/>
    </row>
    <row r="80" spans="1:5" s="76" customFormat="1" ht="19.5" hidden="1" thickBot="1">
      <c r="A80" s="87"/>
      <c r="B80" s="81" t="s">
        <v>139</v>
      </c>
      <c r="C80" s="84"/>
      <c r="D80" s="84" t="s">
        <v>140</v>
      </c>
      <c r="E80" s="84">
        <f>E79+E78</f>
        <v>0</v>
      </c>
    </row>
    <row r="81" s="76" customFormat="1" ht="15" hidden="1"/>
    <row r="82" spans="1:9" s="76" customFormat="1" ht="18.75" hidden="1">
      <c r="A82" s="477" t="s">
        <v>363</v>
      </c>
      <c r="B82" s="477"/>
      <c r="C82" s="477"/>
      <c r="D82" s="477"/>
      <c r="E82" s="477"/>
      <c r="F82" s="477"/>
      <c r="G82" s="477"/>
      <c r="H82" s="477"/>
      <c r="I82" s="477"/>
    </row>
    <row r="83" s="76" customFormat="1" ht="18.75" hidden="1">
      <c r="A83" s="92"/>
    </row>
    <row r="84" s="76" customFormat="1" ht="18.75" hidden="1">
      <c r="A84" s="95" t="s">
        <v>318</v>
      </c>
    </row>
    <row r="85" spans="1:7" s="76" customFormat="1" ht="18.75" hidden="1">
      <c r="A85" s="96" t="s">
        <v>364</v>
      </c>
      <c r="B85" s="96"/>
      <c r="C85" s="96"/>
      <c r="D85" s="96"/>
      <c r="E85" s="96"/>
      <c r="F85" s="96"/>
      <c r="G85" s="96"/>
    </row>
    <row r="86" s="76" customFormat="1" ht="18.75" hidden="1">
      <c r="A86" s="95"/>
    </row>
    <row r="87" spans="1:6" s="76" customFormat="1" ht="18.75" hidden="1">
      <c r="A87" s="477" t="s">
        <v>365</v>
      </c>
      <c r="B87" s="477"/>
      <c r="C87" s="477"/>
      <c r="D87" s="477"/>
      <c r="E87" s="477"/>
      <c r="F87" s="477"/>
    </row>
    <row r="88" s="76" customFormat="1" ht="15.75" hidden="1" thickBot="1"/>
    <row r="89" spans="1:6" s="76" customFormat="1" ht="57" hidden="1" thickBot="1">
      <c r="A89" s="78" t="s">
        <v>0</v>
      </c>
      <c r="B89" s="79" t="s">
        <v>141</v>
      </c>
      <c r="C89" s="79" t="s">
        <v>165</v>
      </c>
      <c r="D89" s="79" t="s">
        <v>166</v>
      </c>
      <c r="E89" s="79" t="s">
        <v>167</v>
      </c>
      <c r="F89" s="79" t="s">
        <v>145</v>
      </c>
    </row>
    <row r="90" spans="1:6" s="76" customFormat="1" ht="19.5" hidden="1" thickBot="1">
      <c r="A90" s="87">
        <v>1</v>
      </c>
      <c r="B90" s="58">
        <v>2</v>
      </c>
      <c r="C90" s="58">
        <v>3</v>
      </c>
      <c r="D90" s="58">
        <v>4</v>
      </c>
      <c r="E90" s="58">
        <v>5</v>
      </c>
      <c r="F90" s="58">
        <v>6</v>
      </c>
    </row>
    <row r="91" spans="1:6" s="76" customFormat="1" ht="38.25" hidden="1" thickBot="1">
      <c r="A91" s="87">
        <v>1</v>
      </c>
      <c r="B91" s="58" t="s">
        <v>320</v>
      </c>
      <c r="C91" s="58"/>
      <c r="D91" s="58"/>
      <c r="E91" s="93"/>
      <c r="F91" s="93">
        <f>C91*D91*E91</f>
        <v>0</v>
      </c>
    </row>
    <row r="92" spans="1:6" s="76" customFormat="1" ht="19.5" hidden="1" thickBot="1">
      <c r="A92" s="87"/>
      <c r="B92" s="81" t="s">
        <v>139</v>
      </c>
      <c r="C92" s="82" t="s">
        <v>140</v>
      </c>
      <c r="D92" s="82" t="s">
        <v>140</v>
      </c>
      <c r="E92" s="82" t="s">
        <v>140</v>
      </c>
      <c r="F92" s="84">
        <f>F91</f>
        <v>0</v>
      </c>
    </row>
    <row r="93" s="76" customFormat="1" ht="15" hidden="1"/>
    <row r="94" spans="1:6" s="76" customFormat="1" ht="30" customHeight="1" hidden="1">
      <c r="A94" s="477" t="s">
        <v>366</v>
      </c>
      <c r="B94" s="477"/>
      <c r="C94" s="477"/>
      <c r="D94" s="477"/>
      <c r="E94" s="477"/>
      <c r="F94" s="477"/>
    </row>
    <row r="95" s="76" customFormat="1" ht="15.75" hidden="1" thickBot="1"/>
    <row r="96" spans="1:5" s="76" customFormat="1" ht="57" hidden="1" thickBot="1">
      <c r="A96" s="78" t="s">
        <v>0</v>
      </c>
      <c r="B96" s="79" t="s">
        <v>141</v>
      </c>
      <c r="C96" s="79" t="s">
        <v>168</v>
      </c>
      <c r="D96" s="79" t="s">
        <v>169</v>
      </c>
      <c r="E96" s="79" t="s">
        <v>170</v>
      </c>
    </row>
    <row r="97" spans="1:5" s="76" customFormat="1" ht="19.5" hidden="1" thickBot="1">
      <c r="A97" s="87">
        <v>1</v>
      </c>
      <c r="B97" s="58">
        <v>2</v>
      </c>
      <c r="C97" s="58">
        <v>3</v>
      </c>
      <c r="D97" s="58">
        <v>4</v>
      </c>
      <c r="E97" s="58">
        <v>5</v>
      </c>
    </row>
    <row r="98" spans="1:5" s="76" customFormat="1" ht="19.5" hidden="1" thickBot="1">
      <c r="A98" s="87"/>
      <c r="B98" s="58"/>
      <c r="C98" s="80">
        <v>0</v>
      </c>
      <c r="D98" s="80">
        <v>0</v>
      </c>
      <c r="E98" s="80">
        <f>C98*D98</f>
        <v>0</v>
      </c>
    </row>
    <row r="99" spans="1:5" s="76" customFormat="1" ht="19.5" hidden="1" thickBot="1">
      <c r="A99" s="87"/>
      <c r="B99" s="97" t="s">
        <v>139</v>
      </c>
      <c r="C99" s="98">
        <f>C98</f>
        <v>0</v>
      </c>
      <c r="D99" s="98">
        <f>D98</f>
        <v>0</v>
      </c>
      <c r="E99" s="98">
        <f>E98</f>
        <v>0</v>
      </c>
    </row>
    <row r="100" s="76" customFormat="1" ht="15" hidden="1"/>
    <row r="101" spans="1:6" s="76" customFormat="1" ht="18.75" hidden="1">
      <c r="A101" s="477" t="s">
        <v>367</v>
      </c>
      <c r="B101" s="477"/>
      <c r="C101" s="477"/>
      <c r="D101" s="477"/>
      <c r="E101" s="477"/>
      <c r="F101" s="477"/>
    </row>
    <row r="102" s="76" customFormat="1" ht="15.75" hidden="1" thickBot="1"/>
    <row r="103" spans="1:7" s="76" customFormat="1" ht="57" hidden="1" thickBot="1">
      <c r="A103" s="78" t="s">
        <v>0</v>
      </c>
      <c r="B103" s="79" t="s">
        <v>1</v>
      </c>
      <c r="C103" s="79" t="s">
        <v>323</v>
      </c>
      <c r="D103" s="79" t="s">
        <v>324</v>
      </c>
      <c r="E103" s="79" t="s">
        <v>171</v>
      </c>
      <c r="F103" s="79" t="s">
        <v>172</v>
      </c>
      <c r="G103" s="79" t="s">
        <v>173</v>
      </c>
    </row>
    <row r="104" spans="1:7" s="76" customFormat="1" ht="19.5" hidden="1" thickBot="1">
      <c r="A104" s="87">
        <v>1</v>
      </c>
      <c r="B104" s="58">
        <v>2</v>
      </c>
      <c r="C104" s="58">
        <v>3</v>
      </c>
      <c r="D104" s="58">
        <v>4</v>
      </c>
      <c r="E104" s="58">
        <v>5</v>
      </c>
      <c r="F104" s="58">
        <v>6</v>
      </c>
      <c r="G104" s="58">
        <v>7</v>
      </c>
    </row>
    <row r="105" spans="1:7" s="76" customFormat="1" ht="47.25" customHeight="1" hidden="1" thickBot="1">
      <c r="A105" s="87">
        <v>1</v>
      </c>
      <c r="B105" s="87" t="s">
        <v>325</v>
      </c>
      <c r="C105" s="80" t="s">
        <v>326</v>
      </c>
      <c r="D105" s="80"/>
      <c r="E105" s="80"/>
      <c r="F105" s="58"/>
      <c r="G105" s="99"/>
    </row>
    <row r="106" spans="1:7" s="76" customFormat="1" ht="47.25" customHeight="1" hidden="1" thickBot="1">
      <c r="A106" s="87">
        <v>2</v>
      </c>
      <c r="B106" s="87" t="s">
        <v>327</v>
      </c>
      <c r="C106" s="80" t="s">
        <v>326</v>
      </c>
      <c r="D106" s="80"/>
      <c r="E106" s="80"/>
      <c r="F106" s="58"/>
      <c r="G106" s="99"/>
    </row>
    <row r="107" spans="1:7" s="76" customFormat="1" ht="47.25" customHeight="1" hidden="1" thickBot="1">
      <c r="A107" s="87">
        <v>3</v>
      </c>
      <c r="B107" s="87" t="s">
        <v>328</v>
      </c>
      <c r="C107" s="80" t="s">
        <v>329</v>
      </c>
      <c r="D107" s="80"/>
      <c r="E107" s="80"/>
      <c r="F107" s="58"/>
      <c r="G107" s="99"/>
    </row>
    <row r="108" spans="1:7" s="76" customFormat="1" ht="47.25" customHeight="1" hidden="1" thickBot="1">
      <c r="A108" s="87">
        <v>4</v>
      </c>
      <c r="B108" s="87" t="s">
        <v>330</v>
      </c>
      <c r="C108" s="80" t="s">
        <v>368</v>
      </c>
      <c r="D108" s="80"/>
      <c r="E108" s="80"/>
      <c r="F108" s="58"/>
      <c r="G108" s="99"/>
    </row>
    <row r="109" spans="1:7" s="76" customFormat="1" ht="47.25" customHeight="1" hidden="1" thickBot="1">
      <c r="A109" s="87">
        <v>5</v>
      </c>
      <c r="B109" s="87" t="s">
        <v>332</v>
      </c>
      <c r="C109" s="80" t="s">
        <v>368</v>
      </c>
      <c r="D109" s="80"/>
      <c r="E109" s="80"/>
      <c r="F109" s="58"/>
      <c r="G109" s="99"/>
    </row>
    <row r="110" spans="1:7" s="76" customFormat="1" ht="47.25" customHeight="1" hidden="1" thickBot="1">
      <c r="A110" s="87">
        <v>6</v>
      </c>
      <c r="B110" s="87" t="s">
        <v>333</v>
      </c>
      <c r="C110" s="80" t="s">
        <v>368</v>
      </c>
      <c r="D110" s="80"/>
      <c r="E110" s="80"/>
      <c r="F110" s="58"/>
      <c r="G110" s="99"/>
    </row>
    <row r="111" spans="1:7" s="76" customFormat="1" ht="19.5" hidden="1" thickBot="1">
      <c r="A111" s="87"/>
      <c r="B111" s="81" t="s">
        <v>139</v>
      </c>
      <c r="C111" s="82" t="s">
        <v>140</v>
      </c>
      <c r="D111" s="82" t="s">
        <v>140</v>
      </c>
      <c r="E111" s="82" t="s">
        <v>140</v>
      </c>
      <c r="F111" s="82" t="s">
        <v>140</v>
      </c>
      <c r="G111" s="100">
        <f>G110+G109+G108+G107+G106+G105</f>
        <v>0</v>
      </c>
    </row>
    <row r="112" s="76" customFormat="1" ht="15" hidden="1"/>
    <row r="113" spans="1:6" s="76" customFormat="1" ht="18.75" hidden="1">
      <c r="A113" s="477" t="s">
        <v>369</v>
      </c>
      <c r="B113" s="477"/>
      <c r="C113" s="477"/>
      <c r="D113" s="477"/>
      <c r="E113" s="477"/>
      <c r="F113" s="95"/>
    </row>
    <row r="114" s="76" customFormat="1" ht="15.75" hidden="1" thickBot="1"/>
    <row r="115" spans="1:5" s="76" customFormat="1" ht="57" hidden="1" thickBot="1">
      <c r="A115" s="78" t="s">
        <v>0</v>
      </c>
      <c r="B115" s="79" t="s">
        <v>1</v>
      </c>
      <c r="C115" s="79" t="s">
        <v>174</v>
      </c>
      <c r="D115" s="79" t="s">
        <v>175</v>
      </c>
      <c r="E115" s="79" t="s">
        <v>176</v>
      </c>
    </row>
    <row r="116" spans="1:5" s="76" customFormat="1" ht="19.5" hidden="1" thickBot="1">
      <c r="A116" s="87">
        <v>1</v>
      </c>
      <c r="B116" s="58">
        <v>2</v>
      </c>
      <c r="C116" s="58">
        <v>3</v>
      </c>
      <c r="D116" s="58">
        <v>4</v>
      </c>
      <c r="E116" s="58">
        <v>5</v>
      </c>
    </row>
    <row r="117" spans="1:5" s="76" customFormat="1" ht="19.5" hidden="1" thickBot="1">
      <c r="A117" s="87"/>
      <c r="B117" s="58"/>
      <c r="C117" s="58"/>
      <c r="D117" s="58"/>
      <c r="E117" s="58"/>
    </row>
    <row r="118" spans="1:5" s="76" customFormat="1" ht="19.5" hidden="1" thickBot="1">
      <c r="A118" s="87"/>
      <c r="B118" s="101" t="s">
        <v>139</v>
      </c>
      <c r="C118" s="58" t="s">
        <v>140</v>
      </c>
      <c r="D118" s="58" t="s">
        <v>140</v>
      </c>
      <c r="E118" s="58" t="s">
        <v>140</v>
      </c>
    </row>
    <row r="119" s="76" customFormat="1" ht="15" hidden="1"/>
    <row r="120" spans="1:5" s="76" customFormat="1" ht="39.75" customHeight="1" hidden="1">
      <c r="A120" s="475" t="s">
        <v>370</v>
      </c>
      <c r="B120" s="475"/>
      <c r="C120" s="475"/>
      <c r="D120" s="475"/>
      <c r="E120" s="475"/>
    </row>
    <row r="121" s="76" customFormat="1" ht="19.5" hidden="1" thickBot="1">
      <c r="A121" s="91"/>
    </row>
    <row r="122" spans="1:5" s="76" customFormat="1" ht="57" hidden="1" thickBot="1">
      <c r="A122" s="78" t="s">
        <v>0</v>
      </c>
      <c r="B122" s="79" t="s">
        <v>141</v>
      </c>
      <c r="C122" s="79" t="s">
        <v>177</v>
      </c>
      <c r="D122" s="79" t="s">
        <v>178</v>
      </c>
      <c r="E122" s="79" t="s">
        <v>179</v>
      </c>
    </row>
    <row r="123" spans="1:5" s="76" customFormat="1" ht="19.5" hidden="1" thickBot="1">
      <c r="A123" s="87">
        <v>1</v>
      </c>
      <c r="B123" s="58">
        <v>2</v>
      </c>
      <c r="C123" s="58">
        <v>3</v>
      </c>
      <c r="D123" s="58">
        <v>4</v>
      </c>
      <c r="E123" s="58">
        <v>5</v>
      </c>
    </row>
    <row r="124" spans="1:5" s="76" customFormat="1" ht="19.5" hidden="1" thickBot="1">
      <c r="A124" s="87">
        <v>1</v>
      </c>
      <c r="B124" s="102" t="s">
        <v>336</v>
      </c>
      <c r="C124" s="58"/>
      <c r="D124" s="58"/>
      <c r="E124" s="93"/>
    </row>
    <row r="125" spans="1:5" s="76" customFormat="1" ht="19.5" hidden="1" thickBot="1">
      <c r="A125" s="87">
        <v>2</v>
      </c>
      <c r="B125" s="102" t="s">
        <v>337</v>
      </c>
      <c r="C125" s="58"/>
      <c r="D125" s="58"/>
      <c r="E125" s="93"/>
    </row>
    <row r="126" spans="1:5" s="76" customFormat="1" ht="19.5" hidden="1" thickBot="1">
      <c r="A126" s="87">
        <v>3</v>
      </c>
      <c r="B126" s="102" t="s">
        <v>338</v>
      </c>
      <c r="C126" s="58"/>
      <c r="D126" s="58"/>
      <c r="E126" s="93"/>
    </row>
    <row r="127" spans="1:5" s="76" customFormat="1" ht="38.25" hidden="1" thickBot="1">
      <c r="A127" s="87">
        <v>4</v>
      </c>
      <c r="B127" s="102" t="s">
        <v>339</v>
      </c>
      <c r="C127" s="58"/>
      <c r="D127" s="58"/>
      <c r="E127" s="93"/>
    </row>
    <row r="128" spans="1:5" s="76" customFormat="1" ht="24.75" customHeight="1" hidden="1" thickBot="1">
      <c r="A128" s="87">
        <v>5</v>
      </c>
      <c r="B128" s="102" t="s">
        <v>340</v>
      </c>
      <c r="C128" s="58"/>
      <c r="D128" s="58"/>
      <c r="E128" s="93"/>
    </row>
    <row r="129" spans="1:5" s="76" customFormat="1" ht="57" hidden="1" thickBot="1">
      <c r="A129" s="87">
        <v>6</v>
      </c>
      <c r="B129" s="102" t="s">
        <v>341</v>
      </c>
      <c r="C129" s="58"/>
      <c r="D129" s="58"/>
      <c r="E129" s="93"/>
    </row>
    <row r="130" spans="1:5" s="76" customFormat="1" ht="19.5" hidden="1" thickBot="1">
      <c r="A130" s="87">
        <v>7</v>
      </c>
      <c r="B130" s="102" t="s">
        <v>342</v>
      </c>
      <c r="C130" s="58"/>
      <c r="D130" s="58"/>
      <c r="E130" s="93"/>
    </row>
    <row r="131" spans="1:5" s="76" customFormat="1" ht="38.25" hidden="1" thickBot="1">
      <c r="A131" s="87">
        <v>8</v>
      </c>
      <c r="B131" s="102" t="s">
        <v>343</v>
      </c>
      <c r="C131" s="58"/>
      <c r="D131" s="58"/>
      <c r="E131" s="93"/>
    </row>
    <row r="132" spans="1:5" s="76" customFormat="1" ht="38.25" hidden="1" thickBot="1">
      <c r="A132" s="87">
        <v>9</v>
      </c>
      <c r="B132" s="102" t="s">
        <v>344</v>
      </c>
      <c r="C132" s="58"/>
      <c r="D132" s="58"/>
      <c r="E132" s="93"/>
    </row>
    <row r="133" spans="1:5" s="76" customFormat="1" ht="38.25" hidden="1" thickBot="1">
      <c r="A133" s="87">
        <v>10</v>
      </c>
      <c r="B133" s="102" t="s">
        <v>345</v>
      </c>
      <c r="C133" s="58"/>
      <c r="D133" s="58"/>
      <c r="E133" s="93"/>
    </row>
    <row r="134" spans="1:5" s="76" customFormat="1" ht="38.25" hidden="1" thickBot="1">
      <c r="A134" s="87">
        <v>11</v>
      </c>
      <c r="B134" s="102" t="s">
        <v>346</v>
      </c>
      <c r="C134" s="58"/>
      <c r="D134" s="58"/>
      <c r="E134" s="93"/>
    </row>
    <row r="135" spans="1:5" s="76" customFormat="1" ht="27" customHeight="1" hidden="1" thickBot="1">
      <c r="A135" s="87"/>
      <c r="B135" s="58"/>
      <c r="C135" s="58"/>
      <c r="D135" s="58"/>
      <c r="E135" s="93"/>
    </row>
    <row r="136" spans="1:5" s="76" customFormat="1" ht="19.5" hidden="1" thickBot="1">
      <c r="A136" s="87"/>
      <c r="B136" s="58"/>
      <c r="C136" s="58"/>
      <c r="D136" s="58"/>
      <c r="E136" s="93"/>
    </row>
    <row r="137" spans="1:5" s="76" customFormat="1" ht="19.5" hidden="1" thickBot="1">
      <c r="A137" s="87"/>
      <c r="B137" s="81" t="s">
        <v>139</v>
      </c>
      <c r="C137" s="82" t="s">
        <v>140</v>
      </c>
      <c r="D137" s="82" t="s">
        <v>140</v>
      </c>
      <c r="E137" s="84">
        <f>SUM(E124:E136)</f>
        <v>0</v>
      </c>
    </row>
    <row r="138" s="76" customFormat="1" ht="15" hidden="1"/>
    <row r="139" spans="1:5" s="76" customFormat="1" ht="37.5" customHeight="1" hidden="1">
      <c r="A139" s="475" t="s">
        <v>371</v>
      </c>
      <c r="B139" s="475"/>
      <c r="C139" s="475"/>
      <c r="D139" s="475"/>
      <c r="E139" s="475"/>
    </row>
    <row r="140" s="76" customFormat="1" ht="19.5" hidden="1" thickBot="1">
      <c r="A140" s="91"/>
    </row>
    <row r="141" spans="1:4" s="76" customFormat="1" ht="38.25" hidden="1" thickBot="1">
      <c r="A141" s="78" t="s">
        <v>0</v>
      </c>
      <c r="B141" s="79" t="s">
        <v>141</v>
      </c>
      <c r="C141" s="79" t="s">
        <v>180</v>
      </c>
      <c r="D141" s="79" t="s">
        <v>181</v>
      </c>
    </row>
    <row r="142" spans="1:4" s="76" customFormat="1" ht="19.5" hidden="1" thickBot="1">
      <c r="A142" s="87">
        <v>1</v>
      </c>
      <c r="B142" s="58">
        <v>2</v>
      </c>
      <c r="C142" s="58">
        <v>3</v>
      </c>
      <c r="D142" s="58">
        <v>4</v>
      </c>
    </row>
    <row r="143" spans="1:4" s="76" customFormat="1" ht="24.75" customHeight="1" hidden="1" thickBot="1">
      <c r="A143" s="87">
        <v>1</v>
      </c>
      <c r="B143" s="102" t="s">
        <v>349</v>
      </c>
      <c r="C143" s="58"/>
      <c r="D143" s="93"/>
    </row>
    <row r="144" spans="1:4" s="76" customFormat="1" ht="24.75" customHeight="1" hidden="1" thickBot="1">
      <c r="A144" s="87">
        <v>2</v>
      </c>
      <c r="B144" s="102" t="s">
        <v>372</v>
      </c>
      <c r="C144" s="58"/>
      <c r="D144" s="93"/>
    </row>
    <row r="145" spans="1:4" s="76" customFormat="1" ht="62.25" customHeight="1" hidden="1" thickBot="1">
      <c r="A145" s="87">
        <v>3</v>
      </c>
      <c r="B145" s="102" t="s">
        <v>351</v>
      </c>
      <c r="C145" s="58"/>
      <c r="D145" s="93"/>
    </row>
    <row r="146" spans="1:4" s="76" customFormat="1" ht="24.75" customHeight="1" hidden="1" thickBot="1">
      <c r="A146" s="87">
        <v>4</v>
      </c>
      <c r="B146" s="102" t="s">
        <v>352</v>
      </c>
      <c r="C146" s="58"/>
      <c r="D146" s="93"/>
    </row>
    <row r="147" spans="1:4" s="76" customFormat="1" ht="24.75" customHeight="1" hidden="1" thickBot="1">
      <c r="A147" s="87"/>
      <c r="B147" s="58"/>
      <c r="C147" s="58"/>
      <c r="D147" s="93"/>
    </row>
    <row r="148" spans="1:4" s="76" customFormat="1" ht="19.5" hidden="1" thickBot="1">
      <c r="A148" s="87"/>
      <c r="B148" s="58"/>
      <c r="C148" s="58"/>
      <c r="D148" s="93"/>
    </row>
    <row r="149" spans="1:4" s="76" customFormat="1" ht="19.5" hidden="1" thickBot="1">
      <c r="A149" s="87"/>
      <c r="B149" s="58"/>
      <c r="C149" s="58"/>
      <c r="D149" s="93"/>
    </row>
    <row r="150" spans="1:4" s="76" customFormat="1" ht="19.5" hidden="1" thickBot="1">
      <c r="A150" s="87"/>
      <c r="B150" s="81" t="s">
        <v>139</v>
      </c>
      <c r="C150" s="82" t="s">
        <v>140</v>
      </c>
      <c r="D150" s="84">
        <f>D149+D148+D147+D146+D145+D144+D143</f>
        <v>0</v>
      </c>
    </row>
    <row r="151" s="76" customFormat="1" ht="15"/>
    <row r="152" spans="1:10" s="76" customFormat="1" ht="51" customHeight="1">
      <c r="A152" s="475" t="s">
        <v>373</v>
      </c>
      <c r="B152" s="475"/>
      <c r="C152" s="475"/>
      <c r="D152" s="475"/>
      <c r="E152" s="475"/>
      <c r="F152" s="475"/>
      <c r="G152" s="475"/>
      <c r="H152" s="475"/>
      <c r="I152" s="475"/>
      <c r="J152" s="475"/>
    </row>
    <row r="153" spans="1:7" s="76" customFormat="1" ht="32.25" customHeight="1">
      <c r="A153" s="476" t="s">
        <v>318</v>
      </c>
      <c r="B153" s="476"/>
      <c r="C153" s="476"/>
      <c r="D153" s="476"/>
      <c r="E153" s="476"/>
      <c r="F153" s="476"/>
      <c r="G153" s="476"/>
    </row>
    <row r="154" spans="1:7" s="76" customFormat="1" ht="25.5" customHeight="1">
      <c r="A154" s="476" t="s">
        <v>406</v>
      </c>
      <c r="B154" s="476"/>
      <c r="C154" s="476"/>
      <c r="D154" s="476"/>
      <c r="E154" s="476"/>
      <c r="F154" s="476"/>
      <c r="G154" s="476"/>
    </row>
    <row r="155" s="76" customFormat="1" ht="15.75" thickBot="1"/>
    <row r="156" spans="1:5" s="76" customFormat="1" ht="57" thickBot="1">
      <c r="A156" s="233" t="s">
        <v>0</v>
      </c>
      <c r="B156" s="234" t="s">
        <v>141</v>
      </c>
      <c r="C156" s="234" t="s">
        <v>374</v>
      </c>
      <c r="D156" s="234" t="s">
        <v>182</v>
      </c>
      <c r="E156" s="235" t="s">
        <v>170</v>
      </c>
    </row>
    <row r="157" spans="1:5" s="76" customFormat="1" ht="18.75">
      <c r="A157" s="167">
        <v>1</v>
      </c>
      <c r="B157" s="168">
        <v>2</v>
      </c>
      <c r="C157" s="168">
        <v>3</v>
      </c>
      <c r="D157" s="168">
        <v>4</v>
      </c>
      <c r="E157" s="172">
        <v>5</v>
      </c>
    </row>
    <row r="158" spans="1:5" s="76" customFormat="1" ht="49.5" customHeight="1">
      <c r="A158" s="169">
        <v>1</v>
      </c>
      <c r="B158" s="173" t="s">
        <v>428</v>
      </c>
      <c r="C158" s="166"/>
      <c r="D158" s="261"/>
      <c r="E158" s="262">
        <f>SUM(E159:E160)</f>
        <v>4611313.140909092</v>
      </c>
    </row>
    <row r="159" spans="1:5" s="76" customFormat="1" ht="45.75" customHeight="1">
      <c r="A159" s="259" t="s">
        <v>429</v>
      </c>
      <c r="B159" s="173" t="s">
        <v>375</v>
      </c>
      <c r="C159" s="267">
        <f>18270/11*12</f>
        <v>19930.909090909092</v>
      </c>
      <c r="D159" s="261">
        <v>220.41</v>
      </c>
      <c r="E159" s="262">
        <f>C159*D159-465.55</f>
        <v>4392506.122727273</v>
      </c>
    </row>
    <row r="160" spans="1:5" s="76" customFormat="1" ht="57.75" customHeight="1" thickBot="1">
      <c r="A160" s="260" t="s">
        <v>430</v>
      </c>
      <c r="B160" s="174" t="s">
        <v>376</v>
      </c>
      <c r="C160" s="268">
        <f>1820/11*12</f>
        <v>1985.4545454545455</v>
      </c>
      <c r="D160" s="263">
        <f>D159/2</f>
        <v>110.205</v>
      </c>
      <c r="E160" s="264">
        <f>C160*D160</f>
        <v>218807.0181818182</v>
      </c>
    </row>
    <row r="161" spans="1:13" s="76" customFormat="1" ht="50.25" customHeight="1" thickBot="1">
      <c r="A161" s="473" t="s">
        <v>360</v>
      </c>
      <c r="B161" s="474"/>
      <c r="C161" s="177" t="s">
        <v>422</v>
      </c>
      <c r="D161" s="265" t="s">
        <v>422</v>
      </c>
      <c r="E161" s="266">
        <f>E158</f>
        <v>4611313.140909092</v>
      </c>
      <c r="M161" s="384"/>
    </row>
    <row r="165" spans="1:4" s="113" customFormat="1" ht="18.75">
      <c r="A165" s="490" t="s">
        <v>420</v>
      </c>
      <c r="B165" s="490"/>
      <c r="D165" s="113" t="s">
        <v>435</v>
      </c>
    </row>
  </sheetData>
  <sheetProtection/>
  <mergeCells count="39">
    <mergeCell ref="A165:B165"/>
    <mergeCell ref="A11:J11"/>
    <mergeCell ref="A13:J13"/>
    <mergeCell ref="A15:J15"/>
    <mergeCell ref="A16:J16"/>
    <mergeCell ref="A18:J18"/>
    <mergeCell ref="A20:A22"/>
    <mergeCell ref="B20:B22"/>
    <mergeCell ref="C20:C22"/>
    <mergeCell ref="D20:G20"/>
    <mergeCell ref="H20:H22"/>
    <mergeCell ref="I20:I22"/>
    <mergeCell ref="J20:J22"/>
    <mergeCell ref="D21:D22"/>
    <mergeCell ref="E21:G21"/>
    <mergeCell ref="A28:B28"/>
    <mergeCell ref="A31:F31"/>
    <mergeCell ref="A38:F38"/>
    <mergeCell ref="A45:E45"/>
    <mergeCell ref="A50:A51"/>
    <mergeCell ref="C50:C51"/>
    <mergeCell ref="D50:D51"/>
    <mergeCell ref="A139:E139"/>
    <mergeCell ref="A57:F57"/>
    <mergeCell ref="A59:F59"/>
    <mergeCell ref="A60:F60"/>
    <mergeCell ref="A70:G70"/>
    <mergeCell ref="A73:G73"/>
    <mergeCell ref="A74:G74"/>
    <mergeCell ref="A161:B161"/>
    <mergeCell ref="A152:J152"/>
    <mergeCell ref="A153:G153"/>
    <mergeCell ref="A154:G154"/>
    <mergeCell ref="A82:I82"/>
    <mergeCell ref="A87:F87"/>
    <mergeCell ref="A94:F94"/>
    <mergeCell ref="A101:F101"/>
    <mergeCell ref="A113:E113"/>
    <mergeCell ref="A120:E1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3:PAR1206"/>
  <sheetViews>
    <sheetView view="pageBreakPreview" zoomScale="60" zoomScalePageLayoutView="0" workbookViewId="0" topLeftCell="A1">
      <selection activeCell="L39" sqref="L39"/>
    </sheetView>
  </sheetViews>
  <sheetFormatPr defaultColWidth="28.8515625" defaultRowHeight="15"/>
  <cols>
    <col min="1" max="1" width="38.8515625" style="117" customWidth="1"/>
    <col min="2" max="2" width="9.57421875" style="117" customWidth="1"/>
    <col min="3" max="3" width="27.7109375" style="117" customWidth="1"/>
    <col min="4" max="4" width="32.140625" style="117" customWidth="1"/>
    <col min="5" max="5" width="21.57421875" style="117" customWidth="1"/>
    <col min="6" max="7" width="18.57421875" style="117" customWidth="1"/>
    <col min="8" max="8" width="17.140625" style="117" customWidth="1"/>
    <col min="9" max="9" width="14.8515625" style="117" customWidth="1"/>
    <col min="10" max="10" width="15.421875" style="117" customWidth="1"/>
    <col min="11" max="11" width="16.8515625" style="117" customWidth="1"/>
    <col min="12" max="12" width="23.8515625" style="117" customWidth="1"/>
    <col min="13" max="13" width="36.421875" style="117" customWidth="1"/>
    <col min="14" max="16384" width="28.8515625" style="117" customWidth="1"/>
  </cols>
  <sheetData>
    <row r="3" spans="1:9" ht="19.5" customHeight="1">
      <c r="A3" s="443" t="s">
        <v>93</v>
      </c>
      <c r="B3" s="443"/>
      <c r="C3" s="443"/>
      <c r="D3" s="443"/>
      <c r="E3" s="443"/>
      <c r="F3" s="443"/>
      <c r="G3" s="443"/>
      <c r="H3" s="443"/>
      <c r="I3" s="443"/>
    </row>
    <row r="4" spans="1:9" ht="18.75">
      <c r="A4" s="444" t="s">
        <v>416</v>
      </c>
      <c r="B4" s="444"/>
      <c r="C4" s="444"/>
      <c r="D4" s="444"/>
      <c r="E4" s="444"/>
      <c r="F4" s="444"/>
      <c r="G4" s="444"/>
      <c r="H4" s="444"/>
      <c r="I4" s="444"/>
    </row>
    <row r="5" ht="15.75" thickBot="1">
      <c r="I5" s="117" t="s">
        <v>94</v>
      </c>
    </row>
    <row r="6" spans="1:9" ht="19.5" customHeight="1">
      <c r="A6" s="420" t="s">
        <v>41</v>
      </c>
      <c r="B6" s="423" t="s">
        <v>42</v>
      </c>
      <c r="C6" s="423" t="s">
        <v>43</v>
      </c>
      <c r="D6" s="423" t="s">
        <v>44</v>
      </c>
      <c r="E6" s="423"/>
      <c r="F6" s="423"/>
      <c r="G6" s="423"/>
      <c r="H6" s="423"/>
      <c r="I6" s="426"/>
    </row>
    <row r="7" spans="1:9" ht="18.75">
      <c r="A7" s="421"/>
      <c r="B7" s="424"/>
      <c r="C7" s="424"/>
      <c r="D7" s="424" t="s">
        <v>45</v>
      </c>
      <c r="E7" s="424" t="s">
        <v>22</v>
      </c>
      <c r="F7" s="424"/>
      <c r="G7" s="424"/>
      <c r="H7" s="424"/>
      <c r="I7" s="427"/>
    </row>
    <row r="8" spans="1:13" ht="100.5" customHeight="1">
      <c r="A8" s="421"/>
      <c r="B8" s="424"/>
      <c r="C8" s="424"/>
      <c r="D8" s="424"/>
      <c r="E8" s="424" t="s">
        <v>46</v>
      </c>
      <c r="F8" s="428" t="s">
        <v>47</v>
      </c>
      <c r="G8" s="424" t="s">
        <v>48</v>
      </c>
      <c r="H8" s="424" t="s">
        <v>49</v>
      </c>
      <c r="I8" s="427"/>
      <c r="M8" s="372">
        <v>40349088.75</v>
      </c>
    </row>
    <row r="9" spans="1:13" ht="45" customHeight="1" thickBot="1">
      <c r="A9" s="422"/>
      <c r="B9" s="425"/>
      <c r="C9" s="425"/>
      <c r="D9" s="425"/>
      <c r="E9" s="425"/>
      <c r="F9" s="429"/>
      <c r="G9" s="425"/>
      <c r="H9" s="236" t="s">
        <v>45</v>
      </c>
      <c r="I9" s="303" t="s">
        <v>50</v>
      </c>
      <c r="M9" s="372">
        <f>M8-E12</f>
        <v>0</v>
      </c>
    </row>
    <row r="10" spans="1:9" ht="18.75">
      <c r="A10" s="274">
        <v>1</v>
      </c>
      <c r="B10" s="275">
        <v>2</v>
      </c>
      <c r="C10" s="275">
        <v>3</v>
      </c>
      <c r="D10" s="275">
        <v>4</v>
      </c>
      <c r="E10" s="275">
        <v>5</v>
      </c>
      <c r="F10" s="275">
        <v>6</v>
      </c>
      <c r="G10" s="275">
        <v>7</v>
      </c>
      <c r="H10" s="275">
        <v>8</v>
      </c>
      <c r="I10" s="276">
        <v>9</v>
      </c>
    </row>
    <row r="11" spans="1:13" s="50" customFormat="1" ht="48.75" customHeight="1">
      <c r="A11" s="286" t="s">
        <v>51</v>
      </c>
      <c r="B11" s="279" t="s">
        <v>245</v>
      </c>
      <c r="C11" s="280" t="s">
        <v>52</v>
      </c>
      <c r="D11" s="281">
        <v>0</v>
      </c>
      <c r="E11" s="281">
        <v>0</v>
      </c>
      <c r="F11" s="281">
        <v>0</v>
      </c>
      <c r="G11" s="281">
        <v>0</v>
      </c>
      <c r="H11" s="281">
        <v>0</v>
      </c>
      <c r="I11" s="287">
        <v>0</v>
      </c>
      <c r="M11" s="50" t="s">
        <v>251</v>
      </c>
    </row>
    <row r="12" spans="1:9" s="50" customFormat="1" ht="47.25" customHeight="1">
      <c r="A12" s="286" t="s">
        <v>53</v>
      </c>
      <c r="B12" s="279" t="s">
        <v>246</v>
      </c>
      <c r="C12" s="280" t="s">
        <v>52</v>
      </c>
      <c r="D12" s="281">
        <f>D13+D17+D20+D25+D26</f>
        <v>46060867.44090909</v>
      </c>
      <c r="E12" s="281">
        <f>E17</f>
        <v>40349088.75</v>
      </c>
      <c r="F12" s="281">
        <f>F25</f>
        <v>1100000</v>
      </c>
      <c r="G12" s="281">
        <f>G25</f>
        <v>0</v>
      </c>
      <c r="H12" s="281">
        <f>H13+H17+H20+H23+H24+H26</f>
        <v>4611778.690909091</v>
      </c>
      <c r="I12" s="287">
        <v>0</v>
      </c>
    </row>
    <row r="13" spans="1:13" s="49" customFormat="1" ht="18.75" customHeight="1">
      <c r="A13" s="445" t="s">
        <v>252</v>
      </c>
      <c r="B13" s="430" t="s">
        <v>247</v>
      </c>
      <c r="C13" s="431">
        <v>120</v>
      </c>
      <c r="D13" s="432">
        <f>D15</f>
        <v>0</v>
      </c>
      <c r="E13" s="432" t="s">
        <v>52</v>
      </c>
      <c r="F13" s="432" t="s">
        <v>52</v>
      </c>
      <c r="G13" s="432" t="s">
        <v>52</v>
      </c>
      <c r="H13" s="432">
        <f>H15</f>
        <v>0</v>
      </c>
      <c r="I13" s="433" t="s">
        <v>52</v>
      </c>
      <c r="M13" s="442" t="s">
        <v>253</v>
      </c>
    </row>
    <row r="14" spans="1:13" s="49" customFormat="1" ht="30.75" customHeight="1">
      <c r="A14" s="445"/>
      <c r="B14" s="430"/>
      <c r="C14" s="431"/>
      <c r="D14" s="432"/>
      <c r="E14" s="432"/>
      <c r="F14" s="432"/>
      <c r="G14" s="432"/>
      <c r="H14" s="432"/>
      <c r="I14" s="433"/>
      <c r="M14" s="442"/>
    </row>
    <row r="15" spans="1:13" ht="18.75" customHeight="1">
      <c r="A15" s="288" t="s">
        <v>4</v>
      </c>
      <c r="B15" s="491" t="s">
        <v>248</v>
      </c>
      <c r="C15" s="492">
        <v>120</v>
      </c>
      <c r="D15" s="493">
        <f>H15</f>
        <v>0</v>
      </c>
      <c r="E15" s="493" t="s">
        <v>52</v>
      </c>
      <c r="F15" s="493" t="s">
        <v>52</v>
      </c>
      <c r="G15" s="493" t="s">
        <v>52</v>
      </c>
      <c r="H15" s="493">
        <v>0</v>
      </c>
      <c r="I15" s="387" t="s">
        <v>52</v>
      </c>
      <c r="M15" s="442"/>
    </row>
    <row r="16" spans="1:13" ht="145.5" customHeight="1">
      <c r="A16" s="288" t="s">
        <v>54</v>
      </c>
      <c r="B16" s="491"/>
      <c r="C16" s="492"/>
      <c r="D16" s="493"/>
      <c r="E16" s="493"/>
      <c r="F16" s="493"/>
      <c r="G16" s="493"/>
      <c r="H16" s="493"/>
      <c r="I16" s="387"/>
      <c r="M16" s="442"/>
    </row>
    <row r="17" spans="1:16" s="49" customFormat="1" ht="45.75" customHeight="1">
      <c r="A17" s="289" t="s">
        <v>55</v>
      </c>
      <c r="B17" s="282" t="s">
        <v>249</v>
      </c>
      <c r="C17" s="175">
        <v>130</v>
      </c>
      <c r="D17" s="176">
        <f>D18</f>
        <v>40349088.75</v>
      </c>
      <c r="E17" s="176">
        <f>E18</f>
        <v>40349088.75</v>
      </c>
      <c r="F17" s="176" t="s">
        <v>52</v>
      </c>
      <c r="G17" s="176" t="s">
        <v>52</v>
      </c>
      <c r="H17" s="176">
        <f>H18</f>
        <v>0</v>
      </c>
      <c r="I17" s="290">
        <f>I18</f>
        <v>0</v>
      </c>
      <c r="M17" s="49" t="s">
        <v>254</v>
      </c>
      <c r="N17" s="111">
        <f>E17-E27</f>
        <v>0.004365518689155579</v>
      </c>
      <c r="O17" s="111">
        <f>F12-F27</f>
        <v>0</v>
      </c>
      <c r="P17" s="111">
        <f>H12-H27</f>
        <v>0</v>
      </c>
    </row>
    <row r="18" spans="1:9" s="118" customFormat="1" ht="18.75">
      <c r="A18" s="291" t="s">
        <v>56</v>
      </c>
      <c r="B18" s="494" t="s">
        <v>250</v>
      </c>
      <c r="C18" s="495">
        <v>130</v>
      </c>
      <c r="D18" s="496">
        <f>E18+H18</f>
        <v>40349088.75</v>
      </c>
      <c r="E18" s="496">
        <v>40349088.75</v>
      </c>
      <c r="F18" s="496" t="s">
        <v>52</v>
      </c>
      <c r="G18" s="496" t="s">
        <v>52</v>
      </c>
      <c r="H18" s="496">
        <v>0</v>
      </c>
      <c r="I18" s="497">
        <v>0</v>
      </c>
    </row>
    <row r="19" spans="1:9" s="118" customFormat="1" ht="75">
      <c r="A19" s="291" t="s">
        <v>57</v>
      </c>
      <c r="B19" s="494"/>
      <c r="C19" s="495"/>
      <c r="D19" s="496"/>
      <c r="E19" s="496"/>
      <c r="F19" s="496"/>
      <c r="G19" s="496"/>
      <c r="H19" s="496"/>
      <c r="I19" s="497"/>
    </row>
    <row r="20" spans="1:9" s="49" customFormat="1" ht="56.25">
      <c r="A20" s="289" t="s">
        <v>58</v>
      </c>
      <c r="B20" s="282" t="s">
        <v>255</v>
      </c>
      <c r="C20" s="175">
        <v>130</v>
      </c>
      <c r="D20" s="176">
        <f>D21+D23+D24</f>
        <v>4611778.690909091</v>
      </c>
      <c r="E20" s="176" t="s">
        <v>52</v>
      </c>
      <c r="F20" s="176" t="s">
        <v>52</v>
      </c>
      <c r="G20" s="176" t="s">
        <v>52</v>
      </c>
      <c r="H20" s="176">
        <f>H21</f>
        <v>0</v>
      </c>
      <c r="I20" s="290">
        <v>0</v>
      </c>
    </row>
    <row r="21" spans="1:9" s="118" customFormat="1" ht="18.75">
      <c r="A21" s="291" t="s">
        <v>22</v>
      </c>
      <c r="B21" s="494" t="s">
        <v>256</v>
      </c>
      <c r="C21" s="495">
        <v>130</v>
      </c>
      <c r="D21" s="496">
        <f>H21</f>
        <v>0</v>
      </c>
      <c r="E21" s="496" t="s">
        <v>52</v>
      </c>
      <c r="F21" s="496" t="s">
        <v>52</v>
      </c>
      <c r="G21" s="496" t="s">
        <v>52</v>
      </c>
      <c r="H21" s="496">
        <v>0</v>
      </c>
      <c r="I21" s="497">
        <v>0</v>
      </c>
    </row>
    <row r="22" spans="1:9" s="118" customFormat="1" ht="37.5">
      <c r="A22" s="291" t="s">
        <v>59</v>
      </c>
      <c r="B22" s="494"/>
      <c r="C22" s="495"/>
      <c r="D22" s="496"/>
      <c r="E22" s="496"/>
      <c r="F22" s="496"/>
      <c r="G22" s="496"/>
      <c r="H22" s="496"/>
      <c r="I22" s="497"/>
    </row>
    <row r="23" spans="1:9" s="118" customFormat="1" ht="18.75">
      <c r="A23" s="291" t="s">
        <v>60</v>
      </c>
      <c r="B23" s="283" t="s">
        <v>257</v>
      </c>
      <c r="C23" s="165">
        <v>130</v>
      </c>
      <c r="D23" s="166">
        <f>H23</f>
        <v>4611778.690909091</v>
      </c>
      <c r="E23" s="166" t="s">
        <v>52</v>
      </c>
      <c r="F23" s="166" t="s">
        <v>52</v>
      </c>
      <c r="G23" s="166" t="s">
        <v>52</v>
      </c>
      <c r="H23" s="166">
        <f>'Раздел IIобоснованиеПДД (2020.)'!E161</f>
        <v>4611778.690909091</v>
      </c>
      <c r="I23" s="170">
        <v>0</v>
      </c>
    </row>
    <row r="24" spans="1:9" s="118" customFormat="1" ht="56.25">
      <c r="A24" s="291" t="s">
        <v>61</v>
      </c>
      <c r="B24" s="283" t="s">
        <v>258</v>
      </c>
      <c r="C24" s="165">
        <v>140</v>
      </c>
      <c r="D24" s="166">
        <f>H24</f>
        <v>0</v>
      </c>
      <c r="E24" s="166" t="s">
        <v>52</v>
      </c>
      <c r="F24" s="166" t="s">
        <v>52</v>
      </c>
      <c r="G24" s="166" t="s">
        <v>52</v>
      </c>
      <c r="H24" s="166">
        <v>0</v>
      </c>
      <c r="I24" s="170" t="s">
        <v>52</v>
      </c>
    </row>
    <row r="25" spans="1:9" s="49" customFormat="1" ht="56.25">
      <c r="A25" s="289" t="s">
        <v>62</v>
      </c>
      <c r="B25" s="282" t="s">
        <v>259</v>
      </c>
      <c r="C25" s="175">
        <v>180</v>
      </c>
      <c r="D25" s="176">
        <f>F25+G25</f>
        <v>1100000</v>
      </c>
      <c r="E25" s="176" t="s">
        <v>52</v>
      </c>
      <c r="F25" s="176">
        <v>1100000</v>
      </c>
      <c r="G25" s="176">
        <v>0</v>
      </c>
      <c r="H25" s="176" t="s">
        <v>52</v>
      </c>
      <c r="I25" s="290" t="s">
        <v>52</v>
      </c>
    </row>
    <row r="26" spans="1:13" s="49" customFormat="1" ht="43.5" customHeight="1">
      <c r="A26" s="292" t="s">
        <v>63</v>
      </c>
      <c r="B26" s="282" t="s">
        <v>261</v>
      </c>
      <c r="C26" s="175">
        <v>180</v>
      </c>
      <c r="D26" s="176">
        <f>H26</f>
        <v>0</v>
      </c>
      <c r="E26" s="176" t="s">
        <v>52</v>
      </c>
      <c r="F26" s="176" t="s">
        <v>52</v>
      </c>
      <c r="G26" s="176" t="s">
        <v>52</v>
      </c>
      <c r="H26" s="176">
        <v>0</v>
      </c>
      <c r="I26" s="290">
        <v>0</v>
      </c>
      <c r="M26" s="111">
        <f>D27-D12</f>
        <v>-0.004365518689155579</v>
      </c>
    </row>
    <row r="27" spans="1:13" s="51" customFormat="1" ht="53.25" customHeight="1">
      <c r="A27" s="320" t="s">
        <v>64</v>
      </c>
      <c r="B27" s="321" t="s">
        <v>262</v>
      </c>
      <c r="C27" s="322" t="s">
        <v>52</v>
      </c>
      <c r="D27" s="323">
        <f>D28+D34+D37+D43+D47</f>
        <v>46060867.43654357</v>
      </c>
      <c r="E27" s="323">
        <f>E28+E34+E37+E43+E47</f>
        <v>40349088.74563448</v>
      </c>
      <c r="F27" s="323">
        <f>F28+F34+F37+F43+F47</f>
        <v>1100000</v>
      </c>
      <c r="G27" s="323">
        <f>G28+G34+G37+G43+G47</f>
        <v>0</v>
      </c>
      <c r="H27" s="323">
        <f>H28+H34+H37+H43+H47</f>
        <v>4611778.690909091</v>
      </c>
      <c r="I27" s="324">
        <v>0</v>
      </c>
      <c r="M27" s="51" t="s">
        <v>260</v>
      </c>
    </row>
    <row r="28" spans="1:9" s="118" customFormat="1" ht="18.75">
      <c r="A28" s="292" t="s">
        <v>22</v>
      </c>
      <c r="B28" s="430" t="s">
        <v>263</v>
      </c>
      <c r="C28" s="431">
        <v>100</v>
      </c>
      <c r="D28" s="432">
        <f>D30+D32+D33</f>
        <v>33687446.51573448</v>
      </c>
      <c r="E28" s="432">
        <f>E30+E32+E33</f>
        <v>32587446.515734483</v>
      </c>
      <c r="F28" s="432">
        <f>F30+F32+F33</f>
        <v>1100000</v>
      </c>
      <c r="G28" s="432">
        <f>G30+G32+G33</f>
        <v>0</v>
      </c>
      <c r="H28" s="432">
        <f>H30+H32+H33</f>
        <v>0</v>
      </c>
      <c r="I28" s="433">
        <v>0</v>
      </c>
    </row>
    <row r="29" spans="1:13" s="118" customFormat="1" ht="37.5">
      <c r="A29" s="292" t="s">
        <v>65</v>
      </c>
      <c r="B29" s="430"/>
      <c r="C29" s="431"/>
      <c r="D29" s="432"/>
      <c r="E29" s="432"/>
      <c r="F29" s="432"/>
      <c r="G29" s="432"/>
      <c r="H29" s="432"/>
      <c r="I29" s="433"/>
      <c r="M29" s="112"/>
    </row>
    <row r="30" spans="1:9" s="118" customFormat="1" ht="18.75">
      <c r="A30" s="291" t="s">
        <v>4</v>
      </c>
      <c r="B30" s="494" t="s">
        <v>264</v>
      </c>
      <c r="C30" s="495">
        <v>111</v>
      </c>
      <c r="D30" s="496">
        <f>E30+F30+G30+H30</f>
        <v>25020460.855734482</v>
      </c>
      <c r="E30" s="496">
        <f>'Раздел II обоснование (2020) '!J28</f>
        <v>25020460.855734482</v>
      </c>
      <c r="F30" s="496">
        <v>0</v>
      </c>
      <c r="G30" s="496">
        <v>0</v>
      </c>
      <c r="H30" s="496">
        <v>0</v>
      </c>
      <c r="I30" s="497">
        <v>0</v>
      </c>
    </row>
    <row r="31" spans="1:9" s="118" customFormat="1" ht="18.75">
      <c r="A31" s="291" t="s">
        <v>66</v>
      </c>
      <c r="B31" s="494"/>
      <c r="C31" s="495"/>
      <c r="D31" s="496"/>
      <c r="E31" s="496"/>
      <c r="F31" s="496"/>
      <c r="G31" s="496"/>
      <c r="H31" s="496"/>
      <c r="I31" s="497"/>
    </row>
    <row r="32" spans="1:9" s="118" customFormat="1" ht="68.25" customHeight="1">
      <c r="A32" s="294" t="s">
        <v>67</v>
      </c>
      <c r="B32" s="283" t="s">
        <v>265</v>
      </c>
      <c r="C32" s="165">
        <v>112</v>
      </c>
      <c r="D32" s="166">
        <f>E32+F32+G32+H32</f>
        <v>1103240</v>
      </c>
      <c r="E32" s="166">
        <f>'Раздел II обоснование (2020) '!F42</f>
        <v>3240</v>
      </c>
      <c r="F32" s="166">
        <v>1100000</v>
      </c>
      <c r="G32" s="166">
        <v>0</v>
      </c>
      <c r="H32" s="166">
        <v>0</v>
      </c>
      <c r="I32" s="170">
        <v>0</v>
      </c>
    </row>
    <row r="33" spans="1:9" s="118" customFormat="1" ht="117" customHeight="1">
      <c r="A33" s="294" t="s">
        <v>68</v>
      </c>
      <c r="B33" s="283" t="s">
        <v>266</v>
      </c>
      <c r="C33" s="165">
        <v>119</v>
      </c>
      <c r="D33" s="166">
        <f>E33+F33+G33+H33</f>
        <v>7563745.66</v>
      </c>
      <c r="E33" s="166">
        <f>'Раздел II обоснование (2020) '!D55</f>
        <v>7563745.66</v>
      </c>
      <c r="F33" s="166">
        <v>0</v>
      </c>
      <c r="G33" s="166">
        <v>0</v>
      </c>
      <c r="H33" s="166">
        <v>0</v>
      </c>
      <c r="I33" s="170">
        <v>0</v>
      </c>
    </row>
    <row r="34" spans="1:9" s="118" customFormat="1" ht="47.25" customHeight="1">
      <c r="A34" s="295" t="s">
        <v>69</v>
      </c>
      <c r="B34" s="282" t="s">
        <v>267</v>
      </c>
      <c r="C34" s="175">
        <v>300</v>
      </c>
      <c r="D34" s="176">
        <f>D35</f>
        <v>0</v>
      </c>
      <c r="E34" s="176">
        <f>E35</f>
        <v>0</v>
      </c>
      <c r="F34" s="176">
        <f>F35</f>
        <v>0</v>
      </c>
      <c r="G34" s="176">
        <f>G35</f>
        <v>0</v>
      </c>
      <c r="H34" s="176">
        <f>H35</f>
        <v>0</v>
      </c>
      <c r="I34" s="290">
        <v>0</v>
      </c>
    </row>
    <row r="35" spans="1:9" s="118" customFormat="1" ht="18.75">
      <c r="A35" s="294" t="s">
        <v>4</v>
      </c>
      <c r="B35" s="494" t="s">
        <v>268</v>
      </c>
      <c r="C35" s="495">
        <v>321</v>
      </c>
      <c r="D35" s="496">
        <f>E35+F35+G35+H35</f>
        <v>0</v>
      </c>
      <c r="E35" s="496">
        <v>0</v>
      </c>
      <c r="F35" s="496">
        <v>0</v>
      </c>
      <c r="G35" s="496">
        <v>0</v>
      </c>
      <c r="H35" s="496">
        <v>0</v>
      </c>
      <c r="I35" s="497">
        <v>0</v>
      </c>
    </row>
    <row r="36" spans="1:9" s="118" customFormat="1" ht="75">
      <c r="A36" s="294" t="s">
        <v>70</v>
      </c>
      <c r="B36" s="494"/>
      <c r="C36" s="495"/>
      <c r="D36" s="496"/>
      <c r="E36" s="496"/>
      <c r="F36" s="496"/>
      <c r="G36" s="496"/>
      <c r="H36" s="496"/>
      <c r="I36" s="497"/>
    </row>
    <row r="37" spans="1:9" s="118" customFormat="1" ht="53.25" customHeight="1">
      <c r="A37" s="295" t="s">
        <v>71</v>
      </c>
      <c r="B37" s="282" t="s">
        <v>269</v>
      </c>
      <c r="C37" s="175">
        <v>850</v>
      </c>
      <c r="D37" s="176">
        <f>D38+D40+D41+D42</f>
        <v>677975.9998999999</v>
      </c>
      <c r="E37" s="176">
        <f>E38+E40+E41+E42</f>
        <v>677975.9998999999</v>
      </c>
      <c r="F37" s="176">
        <f>F38+F40+F41+F42</f>
        <v>0</v>
      </c>
      <c r="G37" s="176">
        <f>G40</f>
        <v>0</v>
      </c>
      <c r="H37" s="176">
        <f>H38+H40+H41+H42</f>
        <v>0</v>
      </c>
      <c r="I37" s="290">
        <v>0</v>
      </c>
    </row>
    <row r="38" spans="1:9" s="118" customFormat="1" ht="18.75">
      <c r="A38" s="294" t="s">
        <v>4</v>
      </c>
      <c r="B38" s="494" t="s">
        <v>270</v>
      </c>
      <c r="C38" s="495">
        <v>851</v>
      </c>
      <c r="D38" s="496">
        <f>E38+F38+H38</f>
        <v>447557.9999</v>
      </c>
      <c r="E38" s="496">
        <f>'Раздел II обоснование (2020) '!E76</f>
        <v>447557.9999</v>
      </c>
      <c r="F38" s="496">
        <v>0</v>
      </c>
      <c r="G38" s="496" t="s">
        <v>52</v>
      </c>
      <c r="H38" s="496">
        <v>0</v>
      </c>
      <c r="I38" s="497">
        <v>0</v>
      </c>
    </row>
    <row r="39" spans="1:9" s="118" customFormat="1" ht="18.75">
      <c r="A39" s="294" t="s">
        <v>92</v>
      </c>
      <c r="B39" s="494"/>
      <c r="C39" s="495"/>
      <c r="D39" s="496"/>
      <c r="E39" s="496"/>
      <c r="F39" s="496"/>
      <c r="G39" s="496"/>
      <c r="H39" s="496"/>
      <c r="I39" s="497"/>
    </row>
    <row r="40" spans="1:9" s="118" customFormat="1" ht="34.5" customHeight="1">
      <c r="A40" s="296" t="s">
        <v>72</v>
      </c>
      <c r="B40" s="283" t="s">
        <v>271</v>
      </c>
      <c r="C40" s="165">
        <v>851</v>
      </c>
      <c r="D40" s="166">
        <f>E40+F40+G40+H40</f>
        <v>230418</v>
      </c>
      <c r="E40" s="166">
        <f>'Раздел II обоснование (2020) '!E77</f>
        <v>230418</v>
      </c>
      <c r="F40" s="166">
        <v>0</v>
      </c>
      <c r="G40" s="166">
        <v>0</v>
      </c>
      <c r="H40" s="166">
        <v>0</v>
      </c>
      <c r="I40" s="170">
        <v>0</v>
      </c>
    </row>
    <row r="41" spans="1:9" s="118" customFormat="1" ht="60" customHeight="1">
      <c r="A41" s="294" t="s">
        <v>73</v>
      </c>
      <c r="B41" s="283" t="s">
        <v>272</v>
      </c>
      <c r="C41" s="165">
        <v>852</v>
      </c>
      <c r="D41" s="166">
        <f>E41+F41+H41</f>
        <v>0</v>
      </c>
      <c r="E41" s="166">
        <v>0</v>
      </c>
      <c r="F41" s="166">
        <v>0</v>
      </c>
      <c r="G41" s="166" t="s">
        <v>52</v>
      </c>
      <c r="H41" s="166">
        <v>0</v>
      </c>
      <c r="I41" s="170">
        <v>0</v>
      </c>
    </row>
    <row r="42" spans="1:9" s="118" customFormat="1" ht="51.75" customHeight="1">
      <c r="A42" s="294" t="s">
        <v>74</v>
      </c>
      <c r="B42" s="283" t="s">
        <v>273</v>
      </c>
      <c r="C42" s="165">
        <v>853</v>
      </c>
      <c r="D42" s="166">
        <f>E42+F42+H42</f>
        <v>0</v>
      </c>
      <c r="E42" s="166">
        <v>0</v>
      </c>
      <c r="F42" s="166">
        <v>0</v>
      </c>
      <c r="G42" s="166" t="s">
        <v>52</v>
      </c>
      <c r="H42" s="166">
        <v>0</v>
      </c>
      <c r="I42" s="170">
        <v>0</v>
      </c>
    </row>
    <row r="43" spans="1:9" s="49" customFormat="1" ht="56.25">
      <c r="A43" s="295" t="s">
        <v>75</v>
      </c>
      <c r="B43" s="282" t="s">
        <v>274</v>
      </c>
      <c r="C43" s="175">
        <v>400</v>
      </c>
      <c r="D43" s="176">
        <f>D44+D46</f>
        <v>0</v>
      </c>
      <c r="E43" s="176">
        <f>E44+E46</f>
        <v>0</v>
      </c>
      <c r="F43" s="176">
        <f>F44+F46</f>
        <v>0</v>
      </c>
      <c r="G43" s="176">
        <f>G44+G46</f>
        <v>0</v>
      </c>
      <c r="H43" s="176">
        <f>H44+H46</f>
        <v>0</v>
      </c>
      <c r="I43" s="290">
        <v>0</v>
      </c>
    </row>
    <row r="44" spans="1:9" s="118" customFormat="1" ht="18.75">
      <c r="A44" s="291" t="s">
        <v>4</v>
      </c>
      <c r="B44" s="494" t="s">
        <v>275</v>
      </c>
      <c r="C44" s="495">
        <v>416</v>
      </c>
      <c r="D44" s="496">
        <f>E44+F44+G44+H44</f>
        <v>0</v>
      </c>
      <c r="E44" s="496">
        <v>0</v>
      </c>
      <c r="F44" s="496">
        <v>0</v>
      </c>
      <c r="G44" s="496">
        <v>0</v>
      </c>
      <c r="H44" s="496">
        <v>0</v>
      </c>
      <c r="I44" s="497">
        <v>0</v>
      </c>
    </row>
    <row r="45" spans="1:9" s="118" customFormat="1" ht="93.75">
      <c r="A45" s="296" t="s">
        <v>76</v>
      </c>
      <c r="B45" s="494"/>
      <c r="C45" s="495"/>
      <c r="D45" s="496"/>
      <c r="E45" s="496"/>
      <c r="F45" s="496"/>
      <c r="G45" s="496"/>
      <c r="H45" s="496"/>
      <c r="I45" s="497"/>
    </row>
    <row r="46" spans="1:9" s="118" customFormat="1" ht="93.75">
      <c r="A46" s="296" t="s">
        <v>77</v>
      </c>
      <c r="B46" s="283" t="s">
        <v>276</v>
      </c>
      <c r="C46" s="165">
        <v>417</v>
      </c>
      <c r="D46" s="166">
        <f>E46+F46+G46+H46</f>
        <v>0</v>
      </c>
      <c r="E46" s="166">
        <v>0</v>
      </c>
      <c r="F46" s="166">
        <v>0</v>
      </c>
      <c r="G46" s="166">
        <v>0</v>
      </c>
      <c r="H46" s="166">
        <v>0</v>
      </c>
      <c r="I46" s="170">
        <v>0</v>
      </c>
    </row>
    <row r="47" spans="1:14" s="49" customFormat="1" ht="58.5" customHeight="1">
      <c r="A47" s="292" t="s">
        <v>78</v>
      </c>
      <c r="B47" s="282" t="s">
        <v>277</v>
      </c>
      <c r="C47" s="175">
        <v>200</v>
      </c>
      <c r="D47" s="176">
        <f>D48+D50</f>
        <v>11695444.920909092</v>
      </c>
      <c r="E47" s="176">
        <f>E48+E50</f>
        <v>7083666.2299999995</v>
      </c>
      <c r="F47" s="176">
        <f>F48+F50</f>
        <v>0</v>
      </c>
      <c r="G47" s="176">
        <f>G48+G50</f>
        <v>0</v>
      </c>
      <c r="H47" s="176">
        <f>H48+H50</f>
        <v>4611778.690909091</v>
      </c>
      <c r="I47" s="290">
        <v>0</v>
      </c>
      <c r="M47" s="49" t="s">
        <v>292</v>
      </c>
      <c r="N47" s="111">
        <f>3240+3982177.55+500000</f>
        <v>4485417.55</v>
      </c>
    </row>
    <row r="48" spans="1:14" s="118" customFormat="1" ht="18.75">
      <c r="A48" s="291" t="s">
        <v>4</v>
      </c>
      <c r="B48" s="494" t="s">
        <v>278</v>
      </c>
      <c r="C48" s="495">
        <v>243</v>
      </c>
      <c r="D48" s="496">
        <f>E48+F48+G48+H48</f>
        <v>0</v>
      </c>
      <c r="E48" s="496">
        <v>0</v>
      </c>
      <c r="F48" s="496">
        <v>0</v>
      </c>
      <c r="G48" s="496">
        <v>0</v>
      </c>
      <c r="H48" s="496">
        <v>0</v>
      </c>
      <c r="I48" s="497">
        <v>0</v>
      </c>
      <c r="M48" s="158"/>
      <c r="N48" s="112">
        <f>E51+E32+E56+E57+E58+E59</f>
        <v>4485417.550000001</v>
      </c>
    </row>
    <row r="49" spans="1:14" s="118" customFormat="1" ht="56.25">
      <c r="A49" s="291" t="s">
        <v>79</v>
      </c>
      <c r="B49" s="494"/>
      <c r="C49" s="495"/>
      <c r="D49" s="496"/>
      <c r="E49" s="496"/>
      <c r="F49" s="496"/>
      <c r="G49" s="496"/>
      <c r="H49" s="496"/>
      <c r="I49" s="497"/>
      <c r="M49" s="158"/>
      <c r="N49" s="112">
        <f>N47-N48</f>
        <v>0</v>
      </c>
    </row>
    <row r="50" spans="1:13" s="118" customFormat="1" ht="75">
      <c r="A50" s="291" t="s">
        <v>80</v>
      </c>
      <c r="B50" s="283" t="s">
        <v>279</v>
      </c>
      <c r="C50" s="165">
        <v>244</v>
      </c>
      <c r="D50" s="166">
        <f aca="true" t="shared" si="0" ref="D50:I50">D51+D53+D54+D55+D56+D58+D59+D57</f>
        <v>11695444.920909092</v>
      </c>
      <c r="E50" s="166">
        <f t="shared" si="0"/>
        <v>7083666.2299999995</v>
      </c>
      <c r="F50" s="166">
        <f t="shared" si="0"/>
        <v>0</v>
      </c>
      <c r="G50" s="166">
        <f t="shared" si="0"/>
        <v>0</v>
      </c>
      <c r="H50" s="166">
        <f t="shared" si="0"/>
        <v>4611778.690909091</v>
      </c>
      <c r="I50" s="166">
        <f t="shared" si="0"/>
        <v>0</v>
      </c>
      <c r="M50" s="112"/>
    </row>
    <row r="51" spans="1:9" s="118" customFormat="1" ht="18.75">
      <c r="A51" s="297" t="s">
        <v>4</v>
      </c>
      <c r="B51" s="494" t="s">
        <v>280</v>
      </c>
      <c r="C51" s="495">
        <v>244</v>
      </c>
      <c r="D51" s="496">
        <f>E51+F51+H51</f>
        <v>24000</v>
      </c>
      <c r="E51" s="496">
        <f>'Раздел II обоснование (2020) '!F89</f>
        <v>24000</v>
      </c>
      <c r="F51" s="496">
        <v>0</v>
      </c>
      <c r="G51" s="496">
        <v>0</v>
      </c>
      <c r="H51" s="496">
        <v>0</v>
      </c>
      <c r="I51" s="497">
        <v>0</v>
      </c>
    </row>
    <row r="52" spans="1:9" s="118" customFormat="1" ht="32.25" customHeight="1">
      <c r="A52" s="297" t="s">
        <v>81</v>
      </c>
      <c r="B52" s="494"/>
      <c r="C52" s="495"/>
      <c r="D52" s="496"/>
      <c r="E52" s="496"/>
      <c r="F52" s="496"/>
      <c r="G52" s="496"/>
      <c r="H52" s="496"/>
      <c r="I52" s="497"/>
    </row>
    <row r="53" spans="1:13" s="118" customFormat="1" ht="33" customHeight="1">
      <c r="A53" s="297" t="s">
        <v>82</v>
      </c>
      <c r="B53" s="283" t="s">
        <v>281</v>
      </c>
      <c r="C53" s="165">
        <v>244</v>
      </c>
      <c r="D53" s="166">
        <f>E53+F53+G53+H53</f>
        <v>0</v>
      </c>
      <c r="E53" s="166">
        <v>0</v>
      </c>
      <c r="F53" s="166">
        <v>0</v>
      </c>
      <c r="G53" s="166">
        <v>0</v>
      </c>
      <c r="H53" s="166">
        <v>0</v>
      </c>
      <c r="I53" s="170">
        <v>0</v>
      </c>
      <c r="M53" s="112"/>
    </row>
    <row r="54" spans="1:9" s="118" customFormat="1" ht="32.25" customHeight="1">
      <c r="A54" s="297" t="s">
        <v>83</v>
      </c>
      <c r="B54" s="283" t="s">
        <v>281</v>
      </c>
      <c r="C54" s="165">
        <v>244</v>
      </c>
      <c r="D54" s="166">
        <f>E54+F54+G54+H54</f>
        <v>2601488.6799999997</v>
      </c>
      <c r="E54" s="166">
        <f>'Раздел II обоснование (2020) '!G109</f>
        <v>2601488.6799999997</v>
      </c>
      <c r="F54" s="166">
        <v>0</v>
      </c>
      <c r="G54" s="166">
        <v>0</v>
      </c>
      <c r="H54" s="166">
        <v>0</v>
      </c>
      <c r="I54" s="170">
        <v>0</v>
      </c>
    </row>
    <row r="55" spans="1:9" s="118" customFormat="1" ht="51.75" customHeight="1">
      <c r="A55" s="297" t="s">
        <v>84</v>
      </c>
      <c r="B55" s="283" t="s">
        <v>282</v>
      </c>
      <c r="C55" s="165">
        <v>244</v>
      </c>
      <c r="D55" s="166">
        <f>E55+F55+H55</f>
        <v>0</v>
      </c>
      <c r="E55" s="166">
        <v>0</v>
      </c>
      <c r="F55" s="166">
        <v>0</v>
      </c>
      <c r="G55" s="166">
        <v>0</v>
      </c>
      <c r="H55" s="166">
        <v>0</v>
      </c>
      <c r="I55" s="170">
        <v>0</v>
      </c>
    </row>
    <row r="56" spans="1:9" s="118" customFormat="1" ht="48" customHeight="1">
      <c r="A56" s="297" t="s">
        <v>85</v>
      </c>
      <c r="B56" s="283" t="s">
        <v>283</v>
      </c>
      <c r="C56" s="165">
        <v>244</v>
      </c>
      <c r="D56" s="166">
        <f aca="true" t="shared" si="1" ref="D56:D62">E56+F56+G56+H56</f>
        <v>1513074.52</v>
      </c>
      <c r="E56" s="166">
        <f>'Раздел II обоснование (2020) '!E137</f>
        <v>1513074.52</v>
      </c>
      <c r="F56" s="166">
        <v>0</v>
      </c>
      <c r="G56" s="166">
        <v>0</v>
      </c>
      <c r="H56" s="166">
        <v>0</v>
      </c>
      <c r="I56" s="170">
        <v>0</v>
      </c>
    </row>
    <row r="57" spans="1:9" s="138" customFormat="1" ht="36.75" customHeight="1">
      <c r="A57" s="169" t="s">
        <v>86</v>
      </c>
      <c r="B57" s="283" t="s">
        <v>284</v>
      </c>
      <c r="C57" s="165">
        <v>244</v>
      </c>
      <c r="D57" s="166">
        <f t="shared" si="1"/>
        <v>1327174.3</v>
      </c>
      <c r="E57" s="166">
        <f>'Раздел II обоснование (2020) '!D152</f>
        <v>1327174.3</v>
      </c>
      <c r="F57" s="166">
        <v>0</v>
      </c>
      <c r="G57" s="166">
        <v>0</v>
      </c>
      <c r="H57" s="166">
        <v>0</v>
      </c>
      <c r="I57" s="170">
        <v>0</v>
      </c>
    </row>
    <row r="58" spans="1:9" s="118" customFormat="1" ht="51" customHeight="1">
      <c r="A58" s="297" t="s">
        <v>87</v>
      </c>
      <c r="B58" s="283" t="s">
        <v>285</v>
      </c>
      <c r="C58" s="165">
        <v>244</v>
      </c>
      <c r="D58" s="166">
        <f t="shared" si="1"/>
        <v>550960</v>
      </c>
      <c r="E58" s="166">
        <f>'Раздел II обоснование (2020) '!E160</f>
        <v>550960</v>
      </c>
      <c r="F58" s="166">
        <v>0</v>
      </c>
      <c r="G58" s="166">
        <v>0</v>
      </c>
      <c r="H58" s="166">
        <v>0</v>
      </c>
      <c r="I58" s="170">
        <v>0</v>
      </c>
    </row>
    <row r="59" spans="1:9" s="118" customFormat="1" ht="49.5" customHeight="1">
      <c r="A59" s="297" t="s">
        <v>88</v>
      </c>
      <c r="B59" s="283" t="s">
        <v>286</v>
      </c>
      <c r="C59" s="165">
        <v>244</v>
      </c>
      <c r="D59" s="166">
        <f t="shared" si="1"/>
        <v>5678747.420909092</v>
      </c>
      <c r="E59" s="166">
        <f>'Раздел II обоснование (2020) '!E163</f>
        <v>1066968.73</v>
      </c>
      <c r="F59" s="166">
        <v>0</v>
      </c>
      <c r="G59" s="166">
        <v>0</v>
      </c>
      <c r="H59" s="166">
        <f>'Раздел IIобоснованиеПДД (2020.)'!E161</f>
        <v>4611778.690909091</v>
      </c>
      <c r="I59" s="170">
        <v>0</v>
      </c>
    </row>
    <row r="60" spans="1:9" ht="37.5">
      <c r="A60" s="298" t="s">
        <v>89</v>
      </c>
      <c r="B60" s="344" t="s">
        <v>287</v>
      </c>
      <c r="C60" s="271">
        <v>500</v>
      </c>
      <c r="D60" s="166">
        <f t="shared" si="1"/>
        <v>46060867.44090909</v>
      </c>
      <c r="E60" s="103">
        <f>E12</f>
        <v>40349088.75</v>
      </c>
      <c r="F60" s="103">
        <f>F12</f>
        <v>1100000</v>
      </c>
      <c r="G60" s="103">
        <v>0</v>
      </c>
      <c r="H60" s="103">
        <f>H12</f>
        <v>4611778.690909091</v>
      </c>
      <c r="I60" s="273">
        <v>0</v>
      </c>
    </row>
    <row r="61" spans="1:9" ht="37.5">
      <c r="A61" s="298" t="s">
        <v>90</v>
      </c>
      <c r="B61" s="344" t="s">
        <v>288</v>
      </c>
      <c r="C61" s="271">
        <v>600</v>
      </c>
      <c r="D61" s="166">
        <f t="shared" si="1"/>
        <v>46060867.43654357</v>
      </c>
      <c r="E61" s="103">
        <f>E27</f>
        <v>40349088.74563448</v>
      </c>
      <c r="F61" s="103">
        <f>F27</f>
        <v>1100000</v>
      </c>
      <c r="G61" s="103">
        <v>0</v>
      </c>
      <c r="H61" s="103">
        <f>H27</f>
        <v>4611778.690909091</v>
      </c>
      <c r="I61" s="273">
        <v>0</v>
      </c>
    </row>
    <row r="62" spans="1:9" ht="44.25" customHeight="1" thickBot="1">
      <c r="A62" s="299" t="s">
        <v>91</v>
      </c>
      <c r="B62" s="345" t="s">
        <v>289</v>
      </c>
      <c r="C62" s="300">
        <v>600</v>
      </c>
      <c r="D62" s="171">
        <f t="shared" si="1"/>
        <v>0</v>
      </c>
      <c r="E62" s="301">
        <v>0</v>
      </c>
      <c r="F62" s="301">
        <v>0</v>
      </c>
      <c r="G62" s="301">
        <v>0</v>
      </c>
      <c r="H62" s="301">
        <v>0</v>
      </c>
      <c r="I62" s="302">
        <v>0</v>
      </c>
    </row>
    <row r="63" ht="15" hidden="1"/>
    <row r="64" ht="15" hidden="1"/>
    <row r="65" spans="1:12" ht="18.75" hidden="1">
      <c r="A65" s="391" t="s">
        <v>104</v>
      </c>
      <c r="B65" s="391"/>
      <c r="C65" s="391"/>
      <c r="D65" s="391"/>
      <c r="E65" s="391"/>
      <c r="F65" s="391"/>
      <c r="G65" s="391"/>
      <c r="H65" s="391"/>
      <c r="I65" s="391"/>
      <c r="J65" s="391"/>
      <c r="K65" s="391"/>
      <c r="L65" s="391"/>
    </row>
    <row r="66" spans="1:12" ht="18.75" hidden="1">
      <c r="A66" s="391" t="s">
        <v>302</v>
      </c>
      <c r="B66" s="391"/>
      <c r="C66" s="391"/>
      <c r="D66" s="391"/>
      <c r="E66" s="391"/>
      <c r="F66" s="391"/>
      <c r="G66" s="391"/>
      <c r="H66" s="391"/>
      <c r="I66" s="391"/>
      <c r="J66" s="391"/>
      <c r="K66" s="391"/>
      <c r="L66" s="391"/>
    </row>
    <row r="67" ht="15.75" hidden="1" thickBot="1">
      <c r="L67" s="117" t="s">
        <v>105</v>
      </c>
    </row>
    <row r="68" spans="1:12" ht="19.5" hidden="1" thickBot="1">
      <c r="A68" s="482" t="s">
        <v>1</v>
      </c>
      <c r="B68" s="482" t="s">
        <v>42</v>
      </c>
      <c r="C68" s="482" t="s">
        <v>96</v>
      </c>
      <c r="D68" s="485" t="s">
        <v>97</v>
      </c>
      <c r="E68" s="486"/>
      <c r="F68" s="486"/>
      <c r="G68" s="486"/>
      <c r="H68" s="486"/>
      <c r="I68" s="486"/>
      <c r="J68" s="486"/>
      <c r="K68" s="486"/>
      <c r="L68" s="487"/>
    </row>
    <row r="69" spans="1:12" ht="19.5" hidden="1" thickBot="1">
      <c r="A69" s="483"/>
      <c r="B69" s="483"/>
      <c r="C69" s="483"/>
      <c r="D69" s="498" t="s">
        <v>98</v>
      </c>
      <c r="E69" s="499"/>
      <c r="F69" s="500"/>
      <c r="G69" s="485" t="s">
        <v>22</v>
      </c>
      <c r="H69" s="486"/>
      <c r="I69" s="486"/>
      <c r="J69" s="486"/>
      <c r="K69" s="486"/>
      <c r="L69" s="487"/>
    </row>
    <row r="70" spans="1:12" ht="65.25" customHeight="1" hidden="1" thickBot="1">
      <c r="A70" s="483"/>
      <c r="B70" s="483"/>
      <c r="C70" s="483"/>
      <c r="D70" s="501"/>
      <c r="E70" s="502"/>
      <c r="F70" s="503"/>
      <c r="G70" s="504" t="s">
        <v>99</v>
      </c>
      <c r="H70" s="505"/>
      <c r="I70" s="506"/>
      <c r="J70" s="504" t="s">
        <v>100</v>
      </c>
      <c r="K70" s="505"/>
      <c r="L70" s="506"/>
    </row>
    <row r="71" spans="1:12" ht="71.25" customHeight="1" hidden="1" thickBot="1">
      <c r="A71" s="484"/>
      <c r="B71" s="484"/>
      <c r="C71" s="484"/>
      <c r="D71" s="14" t="s">
        <v>386</v>
      </c>
      <c r="E71" s="14" t="s">
        <v>387</v>
      </c>
      <c r="F71" s="14" t="s">
        <v>388</v>
      </c>
      <c r="G71" s="14" t="s">
        <v>386</v>
      </c>
      <c r="H71" s="14" t="s">
        <v>387</v>
      </c>
      <c r="I71" s="14" t="s">
        <v>388</v>
      </c>
      <c r="J71" s="14" t="s">
        <v>386</v>
      </c>
      <c r="K71" s="14" t="s">
        <v>387</v>
      </c>
      <c r="L71" s="14" t="s">
        <v>388</v>
      </c>
    </row>
    <row r="72" spans="1:12" ht="19.5" hidden="1" thickBot="1">
      <c r="A72" s="116">
        <v>1</v>
      </c>
      <c r="B72" s="120">
        <v>2</v>
      </c>
      <c r="C72" s="120">
        <v>3</v>
      </c>
      <c r="D72" s="120">
        <v>4</v>
      </c>
      <c r="E72" s="120">
        <v>5</v>
      </c>
      <c r="F72" s="120">
        <v>6</v>
      </c>
      <c r="G72" s="120">
        <v>7</v>
      </c>
      <c r="H72" s="120">
        <v>8</v>
      </c>
      <c r="I72" s="120">
        <v>9</v>
      </c>
      <c r="J72" s="120">
        <v>10</v>
      </c>
      <c r="K72" s="120">
        <v>11</v>
      </c>
      <c r="L72" s="120">
        <v>12</v>
      </c>
    </row>
    <row r="73" spans="1:13" ht="57" hidden="1" thickBot="1">
      <c r="A73" s="115" t="s">
        <v>101</v>
      </c>
      <c r="B73" s="48" t="s">
        <v>290</v>
      </c>
      <c r="C73" s="120" t="s">
        <v>52</v>
      </c>
      <c r="D73" s="16"/>
      <c r="E73" s="16"/>
      <c r="F73" s="16"/>
      <c r="G73" s="16"/>
      <c r="H73" s="16"/>
      <c r="I73" s="16"/>
      <c r="J73" s="16"/>
      <c r="K73" s="16"/>
      <c r="L73" s="16"/>
      <c r="M73" s="117" t="s">
        <v>291</v>
      </c>
    </row>
    <row r="74" spans="1:12" ht="75.75" hidden="1" thickBot="1">
      <c r="A74" s="115" t="s">
        <v>102</v>
      </c>
      <c r="B74" s="120">
        <v>1001</v>
      </c>
      <c r="C74" s="120" t="s">
        <v>52</v>
      </c>
      <c r="D74" s="16"/>
      <c r="E74" s="16"/>
      <c r="F74" s="16"/>
      <c r="G74" s="16"/>
      <c r="H74" s="16"/>
      <c r="I74" s="16"/>
      <c r="J74" s="16"/>
      <c r="K74" s="16"/>
      <c r="L74" s="16"/>
    </row>
    <row r="75" spans="1:12" ht="38.25" hidden="1" thickBot="1">
      <c r="A75" s="115" t="s">
        <v>103</v>
      </c>
      <c r="B75" s="120">
        <v>2001</v>
      </c>
      <c r="C75" s="1"/>
      <c r="D75" s="16"/>
      <c r="E75" s="16"/>
      <c r="F75" s="16"/>
      <c r="G75" s="16"/>
      <c r="H75" s="16"/>
      <c r="I75" s="16"/>
      <c r="J75" s="16"/>
      <c r="K75" s="16"/>
      <c r="L75" s="16"/>
    </row>
    <row r="76" ht="15" hidden="1"/>
    <row r="77" ht="15" hidden="1"/>
    <row r="78" spans="2:6" ht="37.5" customHeight="1" hidden="1">
      <c r="B78" s="391" t="s">
        <v>391</v>
      </c>
      <c r="C78" s="391"/>
      <c r="D78" s="391"/>
      <c r="E78" s="391"/>
      <c r="F78" s="391"/>
    </row>
    <row r="79" spans="2:6" ht="18.75" customHeight="1" hidden="1">
      <c r="B79" s="391" t="s">
        <v>303</v>
      </c>
      <c r="C79" s="391"/>
      <c r="D79" s="391"/>
      <c r="E79" s="391"/>
      <c r="F79" s="391"/>
    </row>
    <row r="80" spans="2:6" ht="15" hidden="1">
      <c r="B80" s="456" t="s">
        <v>110</v>
      </c>
      <c r="C80" s="456"/>
      <c r="D80" s="456"/>
      <c r="E80" s="456"/>
      <c r="F80" s="456"/>
    </row>
    <row r="81" spans="2:6" ht="19.5" hidden="1" thickBot="1">
      <c r="B81" s="114"/>
      <c r="C81" s="114"/>
      <c r="D81" s="114"/>
      <c r="E81" s="117" t="s">
        <v>111</v>
      </c>
      <c r="F81" s="114"/>
    </row>
    <row r="82" spans="3:5" ht="18.75" hidden="1">
      <c r="C82" s="482" t="s">
        <v>1</v>
      </c>
      <c r="D82" s="482" t="s">
        <v>42</v>
      </c>
      <c r="E82" s="119" t="s">
        <v>106</v>
      </c>
    </row>
    <row r="83" spans="3:5" ht="94.5" hidden="1" thickBot="1">
      <c r="C83" s="484"/>
      <c r="D83" s="484"/>
      <c r="E83" s="120" t="s">
        <v>107</v>
      </c>
    </row>
    <row r="84" spans="3:5" ht="19.5" hidden="1" thickBot="1">
      <c r="C84" s="116">
        <v>1</v>
      </c>
      <c r="D84" s="120">
        <v>2</v>
      </c>
      <c r="E84" s="120">
        <v>3</v>
      </c>
    </row>
    <row r="85" spans="3:5" ht="38.25" hidden="1" thickBot="1">
      <c r="C85" s="115" t="s">
        <v>51</v>
      </c>
      <c r="D85" s="120">
        <v>10</v>
      </c>
      <c r="E85" s="16"/>
    </row>
    <row r="86" spans="3:5" ht="38.25" hidden="1" thickBot="1">
      <c r="C86" s="115" t="s">
        <v>91</v>
      </c>
      <c r="D86" s="120">
        <v>20</v>
      </c>
      <c r="E86" s="1"/>
    </row>
    <row r="87" spans="3:5" ht="19.5" hidden="1" thickBot="1">
      <c r="C87" s="115" t="s">
        <v>108</v>
      </c>
      <c r="D87" s="120">
        <v>30</v>
      </c>
      <c r="E87" s="1"/>
    </row>
    <row r="88" spans="3:5" ht="19.5" hidden="1" thickBot="1">
      <c r="C88" s="115"/>
      <c r="D88" s="1"/>
      <c r="E88" s="1"/>
    </row>
    <row r="89" spans="3:5" ht="19.5" hidden="1" thickBot="1">
      <c r="C89" s="115" t="s">
        <v>109</v>
      </c>
      <c r="D89" s="120">
        <v>40</v>
      </c>
      <c r="E89" s="1"/>
    </row>
    <row r="90" spans="3:5" ht="19.5" hidden="1" thickBot="1">
      <c r="C90" s="115"/>
      <c r="D90" s="1"/>
      <c r="E90" s="1"/>
    </row>
    <row r="91" ht="15" hidden="1"/>
    <row r="92" ht="18.75" hidden="1">
      <c r="A92" s="6"/>
    </row>
    <row r="93" spans="1:5" ht="57" customHeight="1" hidden="1">
      <c r="A93" s="402" t="s">
        <v>377</v>
      </c>
      <c r="B93" s="402"/>
      <c r="C93" s="507" t="s">
        <v>378</v>
      </c>
      <c r="D93" s="507"/>
      <c r="E93" s="121" t="s">
        <v>379</v>
      </c>
    </row>
    <row r="94" spans="1:4" ht="26.25" customHeight="1" hidden="1">
      <c r="A94" s="6" t="s">
        <v>118</v>
      </c>
      <c r="C94" s="453" t="s">
        <v>116</v>
      </c>
      <c r="D94" s="453"/>
    </row>
    <row r="95" spans="1:4" ht="18.75" hidden="1">
      <c r="A95" s="6" t="s">
        <v>112</v>
      </c>
      <c r="B95" s="117" t="s">
        <v>114</v>
      </c>
      <c r="D95" s="13"/>
    </row>
    <row r="96" ht="18.75" hidden="1">
      <c r="A96" s="6" t="s">
        <v>113</v>
      </c>
    </row>
    <row r="97" ht="18.75" hidden="1">
      <c r="A97" s="6"/>
    </row>
    <row r="98" spans="1:6" ht="37.5" customHeight="1" hidden="1">
      <c r="A98" s="6" t="s">
        <v>115</v>
      </c>
      <c r="C98" s="508" t="s">
        <v>380</v>
      </c>
      <c r="D98" s="508"/>
      <c r="E98" s="455" t="s">
        <v>381</v>
      </c>
      <c r="F98" s="455"/>
    </row>
    <row r="99" spans="1:4" ht="45" customHeight="1" hidden="1">
      <c r="A99" s="6"/>
      <c r="C99" s="453" t="s">
        <v>117</v>
      </c>
      <c r="D99" s="453"/>
    </row>
    <row r="1206" ht="15"/>
  </sheetData>
  <sheetProtection/>
  <mergeCells count="123">
    <mergeCell ref="A93:B93"/>
    <mergeCell ref="C93:D93"/>
    <mergeCell ref="C94:D94"/>
    <mergeCell ref="C98:D98"/>
    <mergeCell ref="E98:F98"/>
    <mergeCell ref="C99:D99"/>
    <mergeCell ref="G70:I70"/>
    <mergeCell ref="J70:L70"/>
    <mergeCell ref="B78:F78"/>
    <mergeCell ref="B79:F79"/>
    <mergeCell ref="B80:F80"/>
    <mergeCell ref="C82:C83"/>
    <mergeCell ref="D82:D83"/>
    <mergeCell ref="H51:H52"/>
    <mergeCell ref="I51:I52"/>
    <mergeCell ref="A65:L65"/>
    <mergeCell ref="A66:L66"/>
    <mergeCell ref="A68:A71"/>
    <mergeCell ref="B68:B71"/>
    <mergeCell ref="C68:C71"/>
    <mergeCell ref="D68:L68"/>
    <mergeCell ref="D69:F70"/>
    <mergeCell ref="G69:L69"/>
    <mergeCell ref="B51:B52"/>
    <mergeCell ref="C51:C52"/>
    <mergeCell ref="D51:D52"/>
    <mergeCell ref="E51:E52"/>
    <mergeCell ref="F51:F52"/>
    <mergeCell ref="G51:G52"/>
    <mergeCell ref="H44:H45"/>
    <mergeCell ref="I44:I45"/>
    <mergeCell ref="B48:B49"/>
    <mergeCell ref="C48:C49"/>
    <mergeCell ref="D48:D49"/>
    <mergeCell ref="E48:E49"/>
    <mergeCell ref="F48:F49"/>
    <mergeCell ref="G48:G49"/>
    <mergeCell ref="H48:H49"/>
    <mergeCell ref="I48:I49"/>
    <mergeCell ref="B44:B45"/>
    <mergeCell ref="C44:C45"/>
    <mergeCell ref="D44:D45"/>
    <mergeCell ref="E44:E45"/>
    <mergeCell ref="F44:F45"/>
    <mergeCell ref="G44:G45"/>
    <mergeCell ref="H35:H36"/>
    <mergeCell ref="I35:I36"/>
    <mergeCell ref="B38:B39"/>
    <mergeCell ref="C38:C39"/>
    <mergeCell ref="D38:D39"/>
    <mergeCell ref="E38:E39"/>
    <mergeCell ref="F38:F39"/>
    <mergeCell ref="G38:G39"/>
    <mergeCell ref="H38:H39"/>
    <mergeCell ref="I38:I39"/>
    <mergeCell ref="B35:B36"/>
    <mergeCell ref="C35:C36"/>
    <mergeCell ref="D35:D36"/>
    <mergeCell ref="E35:E36"/>
    <mergeCell ref="F35:F36"/>
    <mergeCell ref="G35:G36"/>
    <mergeCell ref="H28:H29"/>
    <mergeCell ref="I28:I29"/>
    <mergeCell ref="B30:B31"/>
    <mergeCell ref="C30:C31"/>
    <mergeCell ref="D30:D31"/>
    <mergeCell ref="E30:E31"/>
    <mergeCell ref="F30:F31"/>
    <mergeCell ref="G30:G31"/>
    <mergeCell ref="H30:H31"/>
    <mergeCell ref="I30:I31"/>
    <mergeCell ref="B28:B29"/>
    <mergeCell ref="C28:C29"/>
    <mergeCell ref="D28:D29"/>
    <mergeCell ref="E28:E29"/>
    <mergeCell ref="F28:F29"/>
    <mergeCell ref="G28:G29"/>
    <mergeCell ref="H18:H19"/>
    <mergeCell ref="I18:I19"/>
    <mergeCell ref="B21:B22"/>
    <mergeCell ref="C21:C22"/>
    <mergeCell ref="D21:D22"/>
    <mergeCell ref="E21:E22"/>
    <mergeCell ref="F21:F22"/>
    <mergeCell ref="G21:G22"/>
    <mergeCell ref="H21:H22"/>
    <mergeCell ref="I21:I22"/>
    <mergeCell ref="B18:B19"/>
    <mergeCell ref="C18:C19"/>
    <mergeCell ref="D18:D19"/>
    <mergeCell ref="E18:E19"/>
    <mergeCell ref="F18:F19"/>
    <mergeCell ref="G18:G19"/>
    <mergeCell ref="I13:I14"/>
    <mergeCell ref="M13:M16"/>
    <mergeCell ref="B15:B16"/>
    <mergeCell ref="C15:C16"/>
    <mergeCell ref="D15:D16"/>
    <mergeCell ref="E15:E16"/>
    <mergeCell ref="F15:F16"/>
    <mergeCell ref="G15:G16"/>
    <mergeCell ref="H15:H16"/>
    <mergeCell ref="I15:I16"/>
    <mergeCell ref="G8:G9"/>
    <mergeCell ref="H8:I8"/>
    <mergeCell ref="A13:A14"/>
    <mergeCell ref="B13:B14"/>
    <mergeCell ref="C13:C14"/>
    <mergeCell ref="D13:D14"/>
    <mergeCell ref="E13:E14"/>
    <mergeCell ref="F13:F14"/>
    <mergeCell ref="G13:G14"/>
    <mergeCell ref="H13:H14"/>
    <mergeCell ref="A3:I3"/>
    <mergeCell ref="A4:I4"/>
    <mergeCell ref="A6:A9"/>
    <mergeCell ref="B6:B9"/>
    <mergeCell ref="C6:C9"/>
    <mergeCell ref="D6:I6"/>
    <mergeCell ref="D7:D9"/>
    <mergeCell ref="E7:I7"/>
    <mergeCell ref="E8:E9"/>
    <mergeCell ref="F8:F9"/>
  </mergeCells>
  <hyperlinks>
    <hyperlink ref="A6" location="Par1206" display="Par1206"/>
    <hyperlink ref="F8" r:id="rId1" display="consultantplus://offline/ref=EC513630DD0A2F9B2EC0205798B851993A5251D08ECB4308CDDA19182ECC2154EE9666852E0BHBNDC"/>
    <hyperlink ref="G70" r:id="rId2" display="consultantplus://offline/ref=EC513630DD0A2F9B2EC0205798B851993A5256DB8AC84308CDDA19182EHCNCC"/>
    <hyperlink ref="J70" r:id="rId3" display="consultantplus://offline/ref=EC513630DD0A2F9B2EC0205798B851993A5256DC8DCE4308CDDA19182EHCNC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4" r:id="rId4"/>
  <rowBreaks count="3" manualBreakCount="3">
    <brk id="26" max="8" man="1"/>
    <brk id="45" max="8" man="1"/>
    <brk id="62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E171"/>
  <sheetViews>
    <sheetView view="pageBreakPreview" zoomScale="60" zoomScaleNormal="72" zoomScalePageLayoutView="0" workbookViewId="0" topLeftCell="A37">
      <selection activeCell="D52" sqref="D52"/>
    </sheetView>
  </sheetViews>
  <sheetFormatPr defaultColWidth="9.140625" defaultRowHeight="15"/>
  <cols>
    <col min="1" max="1" width="8.57421875" style="184" customWidth="1"/>
    <col min="2" max="2" width="30.140625" style="184" customWidth="1"/>
    <col min="3" max="3" width="23.28125" style="184" customWidth="1"/>
    <col min="4" max="4" width="20.421875" style="184" customWidth="1"/>
    <col min="5" max="5" width="21.7109375" style="184" customWidth="1"/>
    <col min="6" max="6" width="21.421875" style="184" customWidth="1"/>
    <col min="7" max="7" width="19.8515625" style="184" customWidth="1"/>
    <col min="8" max="8" width="17.28125" style="184" customWidth="1"/>
    <col min="9" max="9" width="16.421875" style="184" customWidth="1"/>
    <col min="10" max="10" width="21.140625" style="184" customWidth="1"/>
    <col min="11" max="12" width="18.00390625" style="184" customWidth="1"/>
    <col min="13" max="13" width="26.28125" style="184" customWidth="1"/>
    <col min="14" max="14" width="19.421875" style="184" customWidth="1"/>
    <col min="15" max="15" width="14.421875" style="184" bestFit="1" customWidth="1"/>
    <col min="16" max="16" width="16.140625" style="184" bestFit="1" customWidth="1"/>
    <col min="17" max="23" width="9.140625" style="184" customWidth="1"/>
    <col min="24" max="24" width="25.8515625" style="184" customWidth="1"/>
    <col min="25" max="25" width="18.7109375" style="184" customWidth="1"/>
    <col min="26" max="26" width="14.00390625" style="184" bestFit="1" customWidth="1"/>
    <col min="27" max="29" width="9.140625" style="184" customWidth="1"/>
    <col min="30" max="30" width="13.7109375" style="184" bestFit="1" customWidth="1"/>
    <col min="31" max="31" width="13.421875" style="184" bestFit="1" customWidth="1"/>
    <col min="32" max="16384" width="9.140625" style="184" customWidth="1"/>
  </cols>
  <sheetData>
    <row r="1" ht="18.75">
      <c r="J1" s="185" t="s">
        <v>119</v>
      </c>
    </row>
    <row r="2" ht="18.75">
      <c r="J2" s="185" t="s">
        <v>120</v>
      </c>
    </row>
    <row r="3" ht="16.5">
      <c r="J3" s="186" t="s">
        <v>121</v>
      </c>
    </row>
    <row r="4" ht="16.5">
      <c r="J4" s="186" t="s">
        <v>122</v>
      </c>
    </row>
    <row r="5" ht="16.5">
      <c r="J5" s="186" t="s">
        <v>123</v>
      </c>
    </row>
    <row r="6" ht="16.5">
      <c r="J6" s="186" t="s">
        <v>124</v>
      </c>
    </row>
    <row r="7" ht="16.5">
      <c r="J7" s="186" t="s">
        <v>125</v>
      </c>
    </row>
    <row r="8" ht="16.5">
      <c r="J8" s="186" t="s">
        <v>126</v>
      </c>
    </row>
    <row r="11" spans="1:10" ht="15" customHeight="1">
      <c r="A11" s="465" t="s">
        <v>413</v>
      </c>
      <c r="B11" s="465"/>
      <c r="C11" s="465"/>
      <c r="D11" s="465"/>
      <c r="E11" s="465"/>
      <c r="F11" s="465"/>
      <c r="G11" s="465"/>
      <c r="H11" s="465"/>
      <c r="I11" s="465"/>
      <c r="J11" s="465"/>
    </row>
    <row r="12" spans="1:10" ht="18.75">
      <c r="A12" s="187"/>
      <c r="B12" s="187"/>
      <c r="C12" s="188"/>
      <c r="D12" s="187"/>
      <c r="E12" s="187"/>
      <c r="F12" s="187"/>
      <c r="G12" s="187"/>
      <c r="H12" s="187"/>
      <c r="I12" s="187"/>
      <c r="J12" s="187"/>
    </row>
    <row r="13" spans="1:10" ht="18.75">
      <c r="A13" s="465" t="s">
        <v>127</v>
      </c>
      <c r="B13" s="465"/>
      <c r="C13" s="465"/>
      <c r="D13" s="465"/>
      <c r="E13" s="465"/>
      <c r="F13" s="465"/>
      <c r="G13" s="465"/>
      <c r="H13" s="465"/>
      <c r="I13" s="465"/>
      <c r="J13" s="465"/>
    </row>
    <row r="14" spans="1:10" ht="15">
      <c r="A14" s="187"/>
      <c r="B14" s="187"/>
      <c r="C14" s="187"/>
      <c r="D14" s="187"/>
      <c r="E14" s="187"/>
      <c r="F14" s="187"/>
      <c r="G14" s="187"/>
      <c r="H14" s="187"/>
      <c r="I14" s="187"/>
      <c r="J14" s="187"/>
    </row>
    <row r="15" spans="1:10" ht="18.75">
      <c r="A15" s="466" t="s">
        <v>306</v>
      </c>
      <c r="B15" s="466"/>
      <c r="C15" s="466"/>
      <c r="D15" s="466"/>
      <c r="E15" s="466"/>
      <c r="F15" s="466"/>
      <c r="G15" s="466"/>
      <c r="H15" s="466"/>
      <c r="I15" s="466"/>
      <c r="J15" s="466"/>
    </row>
    <row r="16" spans="1:10" ht="21" customHeight="1">
      <c r="A16" s="466" t="s">
        <v>307</v>
      </c>
      <c r="B16" s="466"/>
      <c r="C16" s="466"/>
      <c r="D16" s="466"/>
      <c r="E16" s="466"/>
      <c r="F16" s="466"/>
      <c r="G16" s="466"/>
      <c r="H16" s="466"/>
      <c r="I16" s="466"/>
      <c r="J16" s="466"/>
    </row>
    <row r="17" ht="18.75">
      <c r="A17" s="189"/>
    </row>
    <row r="18" spans="1:10" ht="18.75">
      <c r="A18" s="465" t="s">
        <v>128</v>
      </c>
      <c r="B18" s="465"/>
      <c r="C18" s="465"/>
      <c r="D18" s="465"/>
      <c r="E18" s="465"/>
      <c r="F18" s="465"/>
      <c r="G18" s="465"/>
      <c r="H18" s="465"/>
      <c r="I18" s="465"/>
      <c r="J18" s="465"/>
    </row>
    <row r="19" ht="15.75" thickBot="1"/>
    <row r="20" spans="1:24" ht="36" customHeight="1">
      <c r="A20" s="447" t="s">
        <v>0</v>
      </c>
      <c r="B20" s="423" t="s">
        <v>129</v>
      </c>
      <c r="C20" s="423" t="s">
        <v>385</v>
      </c>
      <c r="D20" s="423" t="s">
        <v>131</v>
      </c>
      <c r="E20" s="423"/>
      <c r="F20" s="423"/>
      <c r="G20" s="423"/>
      <c r="H20" s="423" t="s">
        <v>132</v>
      </c>
      <c r="I20" s="423" t="s">
        <v>133</v>
      </c>
      <c r="J20" s="426" t="s">
        <v>384</v>
      </c>
      <c r="K20" s="190"/>
      <c r="L20" s="191"/>
      <c r="X20" s="190"/>
    </row>
    <row r="21" spans="1:14" ht="18.75">
      <c r="A21" s="448"/>
      <c r="B21" s="424"/>
      <c r="C21" s="424"/>
      <c r="D21" s="424" t="s">
        <v>135</v>
      </c>
      <c r="E21" s="424" t="s">
        <v>22</v>
      </c>
      <c r="F21" s="424"/>
      <c r="G21" s="424"/>
      <c r="H21" s="424"/>
      <c r="I21" s="424"/>
      <c r="J21" s="427"/>
      <c r="M21" s="190"/>
      <c r="N21" s="192"/>
    </row>
    <row r="22" spans="1:10" ht="109.5" customHeight="1" thickBot="1">
      <c r="A22" s="449"/>
      <c r="B22" s="425"/>
      <c r="C22" s="425"/>
      <c r="D22" s="425"/>
      <c r="E22" s="378" t="s">
        <v>136</v>
      </c>
      <c r="F22" s="378" t="s">
        <v>137</v>
      </c>
      <c r="G22" s="378" t="s">
        <v>138</v>
      </c>
      <c r="H22" s="425"/>
      <c r="I22" s="425"/>
      <c r="J22" s="467"/>
    </row>
    <row r="23" spans="1:13" ht="18.75">
      <c r="A23" s="193">
        <v>1</v>
      </c>
      <c r="B23" s="194">
        <v>2</v>
      </c>
      <c r="C23" s="194">
        <v>3</v>
      </c>
      <c r="D23" s="194">
        <v>4</v>
      </c>
      <c r="E23" s="194">
        <v>5</v>
      </c>
      <c r="F23" s="194">
        <v>6</v>
      </c>
      <c r="G23" s="194">
        <v>7</v>
      </c>
      <c r="H23" s="194">
        <v>8</v>
      </c>
      <c r="I23" s="194">
        <v>9</v>
      </c>
      <c r="J23" s="195">
        <v>10</v>
      </c>
      <c r="L23" s="190"/>
      <c r="M23" s="190"/>
    </row>
    <row r="24" spans="1:28" ht="37.5">
      <c r="A24" s="382">
        <v>1</v>
      </c>
      <c r="B24" s="379" t="s">
        <v>308</v>
      </c>
      <c r="C24" s="379">
        <v>2</v>
      </c>
      <c r="D24" s="380">
        <f>(E24+F24+G24)</f>
        <v>37500.0095099945</v>
      </c>
      <c r="E24" s="380">
        <f>42450*1.043/C24</f>
        <v>22137.675</v>
      </c>
      <c r="F24" s="380"/>
      <c r="G24" s="380">
        <f>E24*K24-385.9201923+2884.615385</f>
        <v>15362.3345099945</v>
      </c>
      <c r="H24" s="380"/>
      <c r="I24" s="380">
        <v>1.6</v>
      </c>
      <c r="J24" s="381">
        <f>((D24*I24)+(D24))*C24*12-0.59</f>
        <v>2340000.0034236573</v>
      </c>
      <c r="K24" s="184">
        <v>0.58107454</v>
      </c>
      <c r="L24" s="190">
        <f>J24/C24/12</f>
        <v>97500.00014265238</v>
      </c>
      <c r="M24" s="192"/>
      <c r="X24" s="190"/>
      <c r="Y24" s="190"/>
      <c r="AB24" s="184">
        <f aca="true" t="shared" si="0" ref="AB24:AB29">D24*2.6</f>
        <v>97500.02472598571</v>
      </c>
    </row>
    <row r="25" spans="1:28" ht="37.5">
      <c r="A25" s="382">
        <v>2</v>
      </c>
      <c r="B25" s="379" t="s">
        <v>309</v>
      </c>
      <c r="C25" s="379">
        <v>16.5</v>
      </c>
      <c r="D25" s="380">
        <f>(E25+F25+G25)</f>
        <v>25058.273766783343</v>
      </c>
      <c r="E25" s="380">
        <f>146769.67*1.043/C25</f>
        <v>9277.622170303031</v>
      </c>
      <c r="F25" s="380"/>
      <c r="G25" s="380">
        <f>E25*K25+E25*0.2+940.9067058+2146.19103-970.28147+485.62548+1179.3415</f>
        <v>15780.65159648031</v>
      </c>
      <c r="H25" s="380"/>
      <c r="I25" s="380">
        <v>1.6</v>
      </c>
      <c r="J25" s="381">
        <f>((D25*I25)+(D25))*C25*12-0.01+0.67</f>
        <v>12899999.995140065</v>
      </c>
      <c r="K25" s="184">
        <v>1.093312891</v>
      </c>
      <c r="L25" s="190">
        <f>J25/C25/12</f>
        <v>65151.51512697002</v>
      </c>
      <c r="M25" s="192"/>
      <c r="X25" s="190"/>
      <c r="Y25" s="190"/>
      <c r="AB25" s="184">
        <f>D25*2.6</f>
        <v>65151.511793636695</v>
      </c>
    </row>
    <row r="26" spans="1:28" ht="56.25">
      <c r="A26" s="382">
        <v>3</v>
      </c>
      <c r="B26" s="379" t="s">
        <v>310</v>
      </c>
      <c r="C26" s="199">
        <v>12.42</v>
      </c>
      <c r="D26" s="380">
        <f>(E26+F26+G26)</f>
        <v>11606.228449925959</v>
      </c>
      <c r="E26" s="380">
        <f>67603.22*1.043/C26</f>
        <v>5677.146413848631</v>
      </c>
      <c r="F26" s="380"/>
      <c r="G26" s="380">
        <f>E26*K26-140.144654-121.3993214-105.1613088+1032.247409+1800</f>
        <v>5929.082036077329</v>
      </c>
      <c r="H26" s="380"/>
      <c r="I26" s="380">
        <v>1.6</v>
      </c>
      <c r="J26" s="381">
        <f>((D26*I26)+(D26))*C26*12+0.66</f>
        <v>4497460.609260108</v>
      </c>
      <c r="K26" s="184">
        <v>0.610084655</v>
      </c>
      <c r="L26" s="190">
        <f>J26/C26/12</f>
        <v>30176.198398148874</v>
      </c>
      <c r="M26" s="190"/>
      <c r="N26" s="192"/>
      <c r="X26" s="190"/>
      <c r="AB26" s="184">
        <f t="shared" si="0"/>
        <v>30176.193969807493</v>
      </c>
    </row>
    <row r="27" spans="1:31" ht="38.25" thickBot="1">
      <c r="A27" s="200">
        <v>4</v>
      </c>
      <c r="B27" s="201" t="s">
        <v>311</v>
      </c>
      <c r="C27" s="201">
        <v>17.27</v>
      </c>
      <c r="D27" s="202">
        <f>(E27+F27+G27)</f>
        <v>9804.673080469045</v>
      </c>
      <c r="E27" s="202">
        <f>59874.15*1.043/C27</f>
        <v>3616.024229878402</v>
      </c>
      <c r="F27" s="202">
        <f>(3295*1.043/165.5*365*8*35%/12)+(3295*1.043/165.5*12*24/12)</f>
        <v>2266.89695367573</v>
      </c>
      <c r="G27" s="202">
        <f>E27*K27-1319.1793591+1150.6556873+89.08289+912.75</f>
        <v>3921.7518969149132</v>
      </c>
      <c r="H27" s="202"/>
      <c r="I27" s="202">
        <v>1.6</v>
      </c>
      <c r="J27" s="203">
        <f>((D27*I27)+(D27))*C27*12+6.2+0.88</f>
        <v>5283000.247910653</v>
      </c>
      <c r="K27" s="184">
        <v>0.854099</v>
      </c>
      <c r="L27" s="190">
        <f>J27/C27/12</f>
        <v>25492.184172508463</v>
      </c>
      <c r="M27" s="204"/>
      <c r="X27" s="190"/>
      <c r="Y27" s="190"/>
      <c r="AB27" s="184">
        <f t="shared" si="0"/>
        <v>25492.150009219517</v>
      </c>
      <c r="AD27" s="190">
        <f>X27-J28</f>
        <v>-25020460.855734482</v>
      </c>
      <c r="AE27" s="205">
        <f>AD27-259000-100000</f>
        <v>-25379460.855734482</v>
      </c>
    </row>
    <row r="28" spans="1:28" ht="39.75" customHeight="1" thickBot="1">
      <c r="A28" s="468" t="s">
        <v>139</v>
      </c>
      <c r="B28" s="469"/>
      <c r="C28" s="207">
        <f>SUM(C24:C27)</f>
        <v>48.19</v>
      </c>
      <c r="D28" s="207">
        <f>SUM(D24:D27)</f>
        <v>83969.18480717285</v>
      </c>
      <c r="E28" s="207">
        <f>SUM(E24:E27)</f>
        <v>40708.46781403006</v>
      </c>
      <c r="F28" s="207">
        <f>SUM(F24:F27)</f>
        <v>2266.89695367573</v>
      </c>
      <c r="G28" s="207">
        <f>SUM(G24:G27)</f>
        <v>40993.82003946706</v>
      </c>
      <c r="H28" s="207" t="s">
        <v>140</v>
      </c>
      <c r="I28" s="207" t="s">
        <v>140</v>
      </c>
      <c r="J28" s="208">
        <f>SUM(J24:J27)</f>
        <v>25020460.855734482</v>
      </c>
      <c r="L28" s="190"/>
      <c r="M28" s="190">
        <v>25020460.86</v>
      </c>
      <c r="X28" s="190"/>
      <c r="AB28" s="184">
        <f t="shared" si="0"/>
        <v>218319.8804986494</v>
      </c>
    </row>
    <row r="29" spans="11:28" ht="15">
      <c r="K29" s="190"/>
      <c r="L29" s="190"/>
      <c r="M29" s="190">
        <f>M28-J28</f>
        <v>0.004265516996383667</v>
      </c>
      <c r="X29" s="192"/>
      <c r="Y29" s="190"/>
      <c r="AB29" s="184">
        <f t="shared" si="0"/>
        <v>0</v>
      </c>
    </row>
    <row r="30" spans="10:25" ht="15">
      <c r="J30" s="209"/>
      <c r="L30" s="190"/>
      <c r="M30" s="190"/>
      <c r="X30" s="190"/>
      <c r="Y30" s="190"/>
    </row>
    <row r="31" spans="1:24" ht="38.25" customHeight="1">
      <c r="A31" s="470" t="s">
        <v>183</v>
      </c>
      <c r="B31" s="470"/>
      <c r="C31" s="470"/>
      <c r="D31" s="470"/>
      <c r="E31" s="470"/>
      <c r="F31" s="470"/>
      <c r="J31" s="209"/>
      <c r="L31" s="190"/>
      <c r="M31" s="190"/>
      <c r="X31" s="190"/>
    </row>
    <row r="32" spans="12:24" ht="15.75" thickBot="1">
      <c r="L32" s="190"/>
      <c r="M32" s="190"/>
      <c r="X32" s="190"/>
    </row>
    <row r="33" spans="1:26" ht="123" customHeight="1" thickBot="1">
      <c r="A33" s="233" t="s">
        <v>0</v>
      </c>
      <c r="B33" s="234" t="s">
        <v>141</v>
      </c>
      <c r="C33" s="234" t="s">
        <v>142</v>
      </c>
      <c r="D33" s="234" t="s">
        <v>143</v>
      </c>
      <c r="E33" s="234" t="s">
        <v>144</v>
      </c>
      <c r="F33" s="235" t="s">
        <v>145</v>
      </c>
      <c r="L33" s="190"/>
      <c r="M33" s="192"/>
      <c r="O33" s="190"/>
      <c r="P33" s="191"/>
      <c r="X33" s="190"/>
      <c r="Z33" s="210"/>
    </row>
    <row r="34" spans="1:13" ht="18.75">
      <c r="A34" s="193">
        <v>1</v>
      </c>
      <c r="B34" s="194">
        <v>2</v>
      </c>
      <c r="C34" s="194">
        <v>3</v>
      </c>
      <c r="D34" s="194">
        <v>4</v>
      </c>
      <c r="E34" s="194">
        <v>5</v>
      </c>
      <c r="F34" s="195">
        <v>6</v>
      </c>
      <c r="M34" s="190"/>
    </row>
    <row r="35" spans="1:25" ht="19.5" thickBot="1">
      <c r="A35" s="200">
        <v>1</v>
      </c>
      <c r="B35" s="201"/>
      <c r="C35" s="211">
        <v>0</v>
      </c>
      <c r="D35" s="211">
        <v>0</v>
      </c>
      <c r="E35" s="211">
        <v>0</v>
      </c>
      <c r="F35" s="212">
        <f>C35*D35*E35</f>
        <v>0</v>
      </c>
      <c r="Y35" s="190"/>
    </row>
    <row r="36" spans="1:25" s="238" customFormat="1" ht="19.5" thickBot="1">
      <c r="A36" s="458" t="s">
        <v>139</v>
      </c>
      <c r="B36" s="459"/>
      <c r="C36" s="239" t="s">
        <v>140</v>
      </c>
      <c r="D36" s="239" t="s">
        <v>140</v>
      </c>
      <c r="E36" s="239" t="s">
        <v>140</v>
      </c>
      <c r="F36" s="240">
        <f>F35</f>
        <v>0</v>
      </c>
      <c r="Y36" s="231"/>
    </row>
    <row r="38" spans="1:6" ht="18.75">
      <c r="A38" s="470" t="s">
        <v>184</v>
      </c>
      <c r="B38" s="470"/>
      <c r="C38" s="470"/>
      <c r="D38" s="470"/>
      <c r="E38" s="470"/>
      <c r="F38" s="470"/>
    </row>
    <row r="39" ht="15.75" thickBot="1"/>
    <row r="40" spans="1:6" ht="124.5" customHeight="1" thickBot="1">
      <c r="A40" s="233" t="s">
        <v>0</v>
      </c>
      <c r="B40" s="234" t="s">
        <v>141</v>
      </c>
      <c r="C40" s="234" t="s">
        <v>146</v>
      </c>
      <c r="D40" s="234" t="s">
        <v>147</v>
      </c>
      <c r="E40" s="234" t="s">
        <v>148</v>
      </c>
      <c r="F40" s="235" t="s">
        <v>145</v>
      </c>
    </row>
    <row r="41" spans="1:6" ht="18.75">
      <c r="A41" s="193">
        <v>1</v>
      </c>
      <c r="B41" s="194">
        <v>2</v>
      </c>
      <c r="C41" s="194">
        <v>3</v>
      </c>
      <c r="D41" s="194">
        <v>4</v>
      </c>
      <c r="E41" s="194">
        <v>5</v>
      </c>
      <c r="F41" s="195">
        <v>6</v>
      </c>
    </row>
    <row r="42" spans="1:6" ht="51.75" customHeight="1" thickBot="1">
      <c r="A42" s="200">
        <v>1</v>
      </c>
      <c r="B42" s="201" t="s">
        <v>312</v>
      </c>
      <c r="C42" s="201">
        <v>3</v>
      </c>
      <c r="D42" s="201">
        <v>12</v>
      </c>
      <c r="E42" s="211">
        <v>90</v>
      </c>
      <c r="F42" s="203">
        <f>C42*D42*E42</f>
        <v>3240</v>
      </c>
    </row>
    <row r="43" spans="1:6" s="238" customFormat="1" ht="19.5" thickBot="1">
      <c r="A43" s="458" t="s">
        <v>139</v>
      </c>
      <c r="B43" s="459"/>
      <c r="C43" s="239" t="s">
        <v>140</v>
      </c>
      <c r="D43" s="239" t="s">
        <v>140</v>
      </c>
      <c r="E43" s="239" t="s">
        <v>140</v>
      </c>
      <c r="F43" s="241">
        <f>F42</f>
        <v>3240</v>
      </c>
    </row>
    <row r="45" spans="1:5" ht="80.25" customHeight="1">
      <c r="A45" s="470" t="s">
        <v>185</v>
      </c>
      <c r="B45" s="470"/>
      <c r="C45" s="470"/>
      <c r="D45" s="470"/>
      <c r="E45" s="470"/>
    </row>
    <row r="46" ht="15.75" thickBot="1"/>
    <row r="47" spans="1:4" ht="144.75" customHeight="1" thickBot="1">
      <c r="A47" s="233" t="s">
        <v>0</v>
      </c>
      <c r="B47" s="234" t="s">
        <v>149</v>
      </c>
      <c r="C47" s="234" t="s">
        <v>150</v>
      </c>
      <c r="D47" s="235" t="s">
        <v>151</v>
      </c>
    </row>
    <row r="48" spans="1:4" ht="18.75">
      <c r="A48" s="193">
        <v>1</v>
      </c>
      <c r="B48" s="194">
        <v>2</v>
      </c>
      <c r="C48" s="194">
        <v>3</v>
      </c>
      <c r="D48" s="195">
        <v>4</v>
      </c>
    </row>
    <row r="49" spans="1:4" ht="113.25" customHeight="1">
      <c r="A49" s="196">
        <v>1</v>
      </c>
      <c r="B49" s="214" t="s">
        <v>152</v>
      </c>
      <c r="C49" s="197" t="s">
        <v>140</v>
      </c>
      <c r="D49" s="198">
        <f>D50+D52</f>
        <v>5512067.869829773</v>
      </c>
    </row>
    <row r="50" spans="1:4" ht="18.75">
      <c r="A50" s="471" t="s">
        <v>153</v>
      </c>
      <c r="B50" s="215" t="s">
        <v>22</v>
      </c>
      <c r="C50" s="435" t="s">
        <v>422</v>
      </c>
      <c r="D50" s="437">
        <f>7563745.66-D53-D54</f>
        <v>5512067.869829773</v>
      </c>
    </row>
    <row r="51" spans="1:4" ht="18.75">
      <c r="A51" s="471"/>
      <c r="B51" s="215" t="s">
        <v>154</v>
      </c>
      <c r="C51" s="435"/>
      <c r="D51" s="437"/>
    </row>
    <row r="52" spans="1:4" ht="18.75">
      <c r="A52" s="196" t="s">
        <v>155</v>
      </c>
      <c r="B52" s="214" t="s">
        <v>156</v>
      </c>
      <c r="C52" s="197" t="s">
        <v>422</v>
      </c>
      <c r="D52" s="198"/>
    </row>
    <row r="53" spans="1:4" ht="87.75" customHeight="1">
      <c r="A53" s="196">
        <v>2</v>
      </c>
      <c r="B53" s="214" t="s">
        <v>157</v>
      </c>
      <c r="C53" s="197" t="s">
        <v>140</v>
      </c>
      <c r="D53" s="198">
        <f>C54*3.1%</f>
        <v>775634.2865277689</v>
      </c>
    </row>
    <row r="54" spans="1:4" ht="127.5" customHeight="1" thickBot="1">
      <c r="A54" s="200">
        <v>3</v>
      </c>
      <c r="B54" s="216" t="s">
        <v>158</v>
      </c>
      <c r="C54" s="202">
        <f>J28</f>
        <v>25020460.855734482</v>
      </c>
      <c r="D54" s="203">
        <f>C54*5.1%</f>
        <v>1276043.5036424585</v>
      </c>
    </row>
    <row r="55" spans="1:13" s="242" customFormat="1" ht="19.5" thickBot="1">
      <c r="A55" s="460" t="s">
        <v>139</v>
      </c>
      <c r="B55" s="461"/>
      <c r="C55" s="223" t="s">
        <v>140</v>
      </c>
      <c r="D55" s="208">
        <f>D50+D53+D54</f>
        <v>7563745.66</v>
      </c>
      <c r="M55" s="258">
        <v>7563745.66</v>
      </c>
    </row>
    <row r="56" spans="13:14" ht="15">
      <c r="M56" s="190">
        <f>M55-D55</f>
        <v>0</v>
      </c>
      <c r="N56" s="190">
        <f>M56+M29</f>
        <v>0.004265516996383667</v>
      </c>
    </row>
    <row r="57" spans="1:6" ht="36" customHeight="1">
      <c r="A57" s="470" t="s">
        <v>186</v>
      </c>
      <c r="B57" s="470"/>
      <c r="C57" s="470"/>
      <c r="D57" s="470"/>
      <c r="E57" s="470"/>
      <c r="F57" s="470"/>
    </row>
    <row r="59" spans="1:6" ht="18.75">
      <c r="A59" s="472" t="s">
        <v>402</v>
      </c>
      <c r="B59" s="472"/>
      <c r="C59" s="472"/>
      <c r="D59" s="472"/>
      <c r="E59" s="472"/>
      <c r="F59" s="472"/>
    </row>
    <row r="60" spans="1:6" ht="18.75">
      <c r="A60" s="472" t="s">
        <v>403</v>
      </c>
      <c r="B60" s="472"/>
      <c r="C60" s="472"/>
      <c r="D60" s="472"/>
      <c r="E60" s="472"/>
      <c r="F60" s="472"/>
    </row>
    <row r="61" ht="19.5" thickBot="1">
      <c r="A61" s="217"/>
    </row>
    <row r="62" spans="1:5" ht="108" customHeight="1" thickBot="1">
      <c r="A62" s="233" t="s">
        <v>0</v>
      </c>
      <c r="B62" s="234" t="s">
        <v>1</v>
      </c>
      <c r="C62" s="234" t="s">
        <v>159</v>
      </c>
      <c r="D62" s="234" t="s">
        <v>160</v>
      </c>
      <c r="E62" s="235" t="s">
        <v>161</v>
      </c>
    </row>
    <row r="63" spans="1:5" ht="18.75">
      <c r="A63" s="193">
        <v>1</v>
      </c>
      <c r="B63" s="194">
        <v>2</v>
      </c>
      <c r="C63" s="194">
        <v>3</v>
      </c>
      <c r="D63" s="194">
        <v>4</v>
      </c>
      <c r="E63" s="195">
        <v>5</v>
      </c>
    </row>
    <row r="64" spans="1:5" ht="94.5" thickBot="1">
      <c r="A64" s="200"/>
      <c r="B64" s="201" t="s">
        <v>404</v>
      </c>
      <c r="C64" s="201"/>
      <c r="D64" s="201"/>
      <c r="E64" s="203"/>
    </row>
    <row r="65" spans="1:5" s="238" customFormat="1" ht="19.5" thickBot="1">
      <c r="A65" s="458" t="s">
        <v>139</v>
      </c>
      <c r="B65" s="459"/>
      <c r="C65" s="239" t="s">
        <v>140</v>
      </c>
      <c r="D65" s="239" t="s">
        <v>140</v>
      </c>
      <c r="E65" s="243">
        <f>E64</f>
        <v>0</v>
      </c>
    </row>
    <row r="68" spans="1:7" ht="18.75">
      <c r="A68" s="465" t="s">
        <v>189</v>
      </c>
      <c r="B68" s="465"/>
      <c r="C68" s="465"/>
      <c r="D68" s="465"/>
      <c r="E68" s="465"/>
      <c r="F68" s="465"/>
      <c r="G68" s="465"/>
    </row>
    <row r="69" ht="18.75">
      <c r="A69" s="218"/>
    </row>
    <row r="70" ht="18.75">
      <c r="A70" s="217"/>
    </row>
    <row r="71" spans="1:7" ht="18.75">
      <c r="A71" s="472" t="s">
        <v>313</v>
      </c>
      <c r="B71" s="472"/>
      <c r="C71" s="472"/>
      <c r="D71" s="472"/>
      <c r="E71" s="472"/>
      <c r="F71" s="472"/>
      <c r="G71" s="472"/>
    </row>
    <row r="72" spans="1:7" ht="18.75">
      <c r="A72" s="472" t="s">
        <v>314</v>
      </c>
      <c r="B72" s="472"/>
      <c r="C72" s="472"/>
      <c r="D72" s="472"/>
      <c r="E72" s="472"/>
      <c r="F72" s="472"/>
      <c r="G72" s="472"/>
    </row>
    <row r="73" ht="19.5" thickBot="1">
      <c r="A73" s="217"/>
    </row>
    <row r="74" spans="1:5" ht="141.75" customHeight="1" thickBot="1">
      <c r="A74" s="233" t="s">
        <v>0</v>
      </c>
      <c r="B74" s="234" t="s">
        <v>141</v>
      </c>
      <c r="C74" s="234" t="s">
        <v>162</v>
      </c>
      <c r="D74" s="234" t="s">
        <v>163</v>
      </c>
      <c r="E74" s="235" t="s">
        <v>164</v>
      </c>
    </row>
    <row r="75" spans="1:5" ht="18.75">
      <c r="A75" s="193">
        <v>1</v>
      </c>
      <c r="B75" s="194">
        <v>2</v>
      </c>
      <c r="C75" s="194">
        <v>3</v>
      </c>
      <c r="D75" s="194">
        <v>4</v>
      </c>
      <c r="E75" s="195">
        <v>5</v>
      </c>
    </row>
    <row r="76" spans="1:24" ht="18.75">
      <c r="A76" s="196">
        <v>1</v>
      </c>
      <c r="B76" s="197" t="s">
        <v>315</v>
      </c>
      <c r="C76" s="247">
        <v>20343545.45</v>
      </c>
      <c r="D76" s="247">
        <v>2.2</v>
      </c>
      <c r="E76" s="248">
        <f>(C76*D76)/100</f>
        <v>447557.9999</v>
      </c>
      <c r="H76" s="219"/>
      <c r="L76" s="190"/>
      <c r="X76" s="184">
        <f>105614.75/0.022</f>
        <v>4800670.454545455</v>
      </c>
    </row>
    <row r="77" spans="1:5" ht="27" customHeight="1" thickBot="1">
      <c r="A77" s="200">
        <v>2</v>
      </c>
      <c r="B77" s="201" t="s">
        <v>316</v>
      </c>
      <c r="C77" s="249">
        <v>15361200</v>
      </c>
      <c r="D77" s="249">
        <v>1.5</v>
      </c>
      <c r="E77" s="250">
        <f>(C77*D77)/100</f>
        <v>230418</v>
      </c>
    </row>
    <row r="78" spans="1:12" s="238" customFormat="1" ht="19.5" thickBot="1">
      <c r="A78" s="458" t="s">
        <v>139</v>
      </c>
      <c r="B78" s="459"/>
      <c r="C78" s="244" t="s">
        <v>422</v>
      </c>
      <c r="D78" s="244" t="s">
        <v>140</v>
      </c>
      <c r="E78" s="251">
        <f>E77+E76</f>
        <v>677975.9998999999</v>
      </c>
      <c r="K78" s="231">
        <f>447558+230418</f>
        <v>677976</v>
      </c>
      <c r="L78" s="231"/>
    </row>
    <row r="79" ht="15">
      <c r="K79" s="190">
        <f>K78-E78</f>
        <v>0.00010000006295740604</v>
      </c>
    </row>
    <row r="80" spans="1:5" ht="18.75">
      <c r="A80" s="465" t="s">
        <v>317</v>
      </c>
      <c r="B80" s="465"/>
      <c r="C80" s="465"/>
      <c r="D80" s="465"/>
      <c r="E80" s="465"/>
    </row>
    <row r="81" ht="18.75">
      <c r="A81" s="218"/>
    </row>
    <row r="82" ht="18.75">
      <c r="A82" s="189" t="s">
        <v>417</v>
      </c>
    </row>
    <row r="83" spans="1:7" ht="18.75">
      <c r="A83" s="222" t="s">
        <v>314</v>
      </c>
      <c r="B83" s="222"/>
      <c r="C83" s="222"/>
      <c r="D83" s="222"/>
      <c r="E83" s="222"/>
      <c r="F83" s="222"/>
      <c r="G83" s="222"/>
    </row>
    <row r="84" ht="18.75">
      <c r="A84" s="189"/>
    </row>
    <row r="85" spans="1:6" ht="18.75">
      <c r="A85" s="465" t="s">
        <v>319</v>
      </c>
      <c r="B85" s="465"/>
      <c r="C85" s="465"/>
      <c r="D85" s="465"/>
      <c r="E85" s="465"/>
      <c r="F85" s="465"/>
    </row>
    <row r="86" ht="15.75" thickBot="1"/>
    <row r="87" spans="1:6" ht="38.25" thickBot="1">
      <c r="A87" s="233" t="s">
        <v>0</v>
      </c>
      <c r="B87" s="234" t="s">
        <v>141</v>
      </c>
      <c r="C87" s="234" t="s">
        <v>165</v>
      </c>
      <c r="D87" s="234" t="s">
        <v>166</v>
      </c>
      <c r="E87" s="234" t="s">
        <v>167</v>
      </c>
      <c r="F87" s="235" t="s">
        <v>145</v>
      </c>
    </row>
    <row r="88" spans="1:6" ht="18.75">
      <c r="A88" s="193">
        <v>1</v>
      </c>
      <c r="B88" s="194">
        <v>2</v>
      </c>
      <c r="C88" s="194">
        <v>3</v>
      </c>
      <c r="D88" s="194">
        <v>4</v>
      </c>
      <c r="E88" s="194">
        <v>5</v>
      </c>
      <c r="F88" s="195">
        <v>6</v>
      </c>
    </row>
    <row r="89" spans="1:6" s="238" customFormat="1" ht="38.25" thickBot="1">
      <c r="A89" s="200">
        <v>1</v>
      </c>
      <c r="B89" s="201" t="s">
        <v>320</v>
      </c>
      <c r="C89" s="201">
        <v>2</v>
      </c>
      <c r="D89" s="201">
        <v>12</v>
      </c>
      <c r="E89" s="245">
        <v>1000</v>
      </c>
      <c r="F89" s="246">
        <f>C89*D89*E89</f>
        <v>24000</v>
      </c>
    </row>
    <row r="90" spans="1:6" s="237" customFormat="1" ht="19.5" thickBot="1">
      <c r="A90" s="458" t="s">
        <v>139</v>
      </c>
      <c r="B90" s="459"/>
      <c r="C90" s="239" t="s">
        <v>140</v>
      </c>
      <c r="D90" s="239" t="s">
        <v>140</v>
      </c>
      <c r="E90" s="239" t="s">
        <v>140</v>
      </c>
      <c r="F90" s="251">
        <f>F89</f>
        <v>24000</v>
      </c>
    </row>
    <row r="92" spans="1:6" ht="30" customHeight="1">
      <c r="A92" s="465" t="s">
        <v>321</v>
      </c>
      <c r="B92" s="465"/>
      <c r="C92" s="465"/>
      <c r="D92" s="465"/>
      <c r="E92" s="465"/>
      <c r="F92" s="465"/>
    </row>
    <row r="93" ht="15.75" thickBot="1"/>
    <row r="94" spans="1:5" ht="38.25" thickBot="1">
      <c r="A94" s="233" t="s">
        <v>0</v>
      </c>
      <c r="B94" s="234" t="s">
        <v>141</v>
      </c>
      <c r="C94" s="234" t="s">
        <v>168</v>
      </c>
      <c r="D94" s="234" t="s">
        <v>169</v>
      </c>
      <c r="E94" s="235" t="s">
        <v>170</v>
      </c>
    </row>
    <row r="95" spans="1:5" ht="18.75">
      <c r="A95" s="193">
        <v>1</v>
      </c>
      <c r="B95" s="194">
        <v>2</v>
      </c>
      <c r="C95" s="194">
        <v>3</v>
      </c>
      <c r="D95" s="194">
        <v>4</v>
      </c>
      <c r="E95" s="195">
        <v>5</v>
      </c>
    </row>
    <row r="96" spans="1:5" ht="19.5" thickBot="1">
      <c r="A96" s="200"/>
      <c r="B96" s="201"/>
      <c r="C96" s="211">
        <v>0</v>
      </c>
      <c r="D96" s="211">
        <v>0</v>
      </c>
      <c r="E96" s="212">
        <f>C96*D96</f>
        <v>0</v>
      </c>
    </row>
    <row r="97" spans="1:5" ht="19.5" thickBot="1">
      <c r="A97" s="460" t="s">
        <v>139</v>
      </c>
      <c r="B97" s="461"/>
      <c r="C97" s="223">
        <f>C96</f>
        <v>0</v>
      </c>
      <c r="D97" s="223">
        <f>D96</f>
        <v>0</v>
      </c>
      <c r="E97" s="213">
        <f>E96</f>
        <v>0</v>
      </c>
    </row>
    <row r="99" spans="1:6" ht="18.75">
      <c r="A99" s="465" t="s">
        <v>322</v>
      </c>
      <c r="B99" s="465"/>
      <c r="C99" s="465"/>
      <c r="D99" s="465"/>
      <c r="E99" s="465"/>
      <c r="F99" s="465"/>
    </row>
    <row r="100" ht="15.75" thickBot="1"/>
    <row r="101" spans="1:9" ht="57" thickBot="1">
      <c r="A101" s="233" t="s">
        <v>0</v>
      </c>
      <c r="B101" s="234" t="s">
        <v>1</v>
      </c>
      <c r="C101" s="234" t="s">
        <v>323</v>
      </c>
      <c r="D101" s="234" t="s">
        <v>324</v>
      </c>
      <c r="E101" s="234" t="s">
        <v>171</v>
      </c>
      <c r="F101" s="234" t="s">
        <v>172</v>
      </c>
      <c r="G101" s="235" t="s">
        <v>173</v>
      </c>
      <c r="I101" s="341"/>
    </row>
    <row r="102" spans="1:9" ht="18.75">
      <c r="A102" s="193">
        <v>1</v>
      </c>
      <c r="B102" s="194">
        <v>2</v>
      </c>
      <c r="C102" s="194">
        <v>3</v>
      </c>
      <c r="D102" s="194">
        <v>4</v>
      </c>
      <c r="E102" s="194">
        <v>5</v>
      </c>
      <c r="F102" s="194">
        <v>6</v>
      </c>
      <c r="G102" s="195">
        <v>7</v>
      </c>
      <c r="I102" s="341"/>
    </row>
    <row r="103" spans="1:14" ht="47.25" customHeight="1">
      <c r="A103" s="196">
        <v>1</v>
      </c>
      <c r="B103" s="197" t="s">
        <v>325</v>
      </c>
      <c r="C103" s="199" t="s">
        <v>326</v>
      </c>
      <c r="D103" s="106">
        <v>171.86</v>
      </c>
      <c r="E103" s="106">
        <v>6735.937856394739</v>
      </c>
      <c r="F103" s="197"/>
      <c r="G103" s="255">
        <f aca="true" t="shared" si="1" ref="G103:G108">D103*E103</f>
        <v>1157638.28</v>
      </c>
      <c r="I103" s="342"/>
      <c r="J103" s="190"/>
      <c r="K103" s="224">
        <f>1157638.28/D103</f>
        <v>6735.937856394739</v>
      </c>
      <c r="M103" s="342"/>
      <c r="N103" s="341"/>
    </row>
    <row r="104" spans="1:14" ht="47.25" customHeight="1">
      <c r="A104" s="196">
        <v>2</v>
      </c>
      <c r="B104" s="197" t="s">
        <v>327</v>
      </c>
      <c r="C104" s="199" t="s">
        <v>326</v>
      </c>
      <c r="D104" s="106">
        <v>102.92</v>
      </c>
      <c r="E104" s="106">
        <v>9520.931500194325</v>
      </c>
      <c r="F104" s="197"/>
      <c r="G104" s="255">
        <f t="shared" si="1"/>
        <v>979894.2699999999</v>
      </c>
      <c r="I104" s="342"/>
      <c r="J104" s="190"/>
      <c r="K104" s="225">
        <f>979894.27/D104</f>
        <v>9520.931500194325</v>
      </c>
      <c r="M104" s="342"/>
      <c r="N104" s="341"/>
    </row>
    <row r="105" spans="1:14" ht="47.25" customHeight="1">
      <c r="A105" s="196">
        <v>3</v>
      </c>
      <c r="B105" s="197" t="s">
        <v>328</v>
      </c>
      <c r="C105" s="199" t="s">
        <v>382</v>
      </c>
      <c r="D105" s="106">
        <v>47073</v>
      </c>
      <c r="E105" s="106">
        <v>5.911810804495145</v>
      </c>
      <c r="F105" s="197"/>
      <c r="G105" s="255">
        <f t="shared" si="1"/>
        <v>278286.67</v>
      </c>
      <c r="I105" s="342"/>
      <c r="J105" s="190"/>
      <c r="K105" s="224">
        <f>278286.67/D105</f>
        <v>5.911810804495145</v>
      </c>
      <c r="M105" s="342"/>
      <c r="N105" s="341"/>
    </row>
    <row r="106" spans="1:14" ht="47.25" customHeight="1">
      <c r="A106" s="196">
        <v>4</v>
      </c>
      <c r="B106" s="197" t="s">
        <v>330</v>
      </c>
      <c r="C106" s="199" t="s">
        <v>331</v>
      </c>
      <c r="D106" s="106">
        <v>1184</v>
      </c>
      <c r="E106" s="106">
        <v>55.920920608108105</v>
      </c>
      <c r="F106" s="197"/>
      <c r="G106" s="255">
        <f t="shared" si="1"/>
        <v>66210.37</v>
      </c>
      <c r="I106" s="342"/>
      <c r="J106" s="190"/>
      <c r="K106" s="225">
        <f>66210.37/D106</f>
        <v>55.920920608108105</v>
      </c>
      <c r="M106" s="342"/>
      <c r="N106" s="341"/>
    </row>
    <row r="107" spans="1:14" ht="47.25" customHeight="1">
      <c r="A107" s="196">
        <v>5</v>
      </c>
      <c r="B107" s="197" t="s">
        <v>332</v>
      </c>
      <c r="C107" s="199" t="s">
        <v>331</v>
      </c>
      <c r="D107" s="106">
        <v>1737.95</v>
      </c>
      <c r="E107" s="106">
        <v>45.818751977905</v>
      </c>
      <c r="F107" s="197"/>
      <c r="G107" s="255">
        <f t="shared" si="1"/>
        <v>79630.7</v>
      </c>
      <c r="I107" s="342"/>
      <c r="J107" s="190"/>
      <c r="K107" s="225">
        <f>79630.7/D107</f>
        <v>45.818751977905</v>
      </c>
      <c r="M107" s="342"/>
      <c r="N107" s="341"/>
    </row>
    <row r="108" spans="1:14" ht="47.25" customHeight="1" thickBot="1">
      <c r="A108" s="200">
        <v>6</v>
      </c>
      <c r="B108" s="201" t="s">
        <v>333</v>
      </c>
      <c r="C108" s="211" t="s">
        <v>331</v>
      </c>
      <c r="D108" s="202">
        <v>553.947</v>
      </c>
      <c r="E108" s="202">
        <v>71.89927917291726</v>
      </c>
      <c r="F108" s="201"/>
      <c r="G108" s="256">
        <f t="shared" si="1"/>
        <v>39828.39</v>
      </c>
      <c r="I108" s="342"/>
      <c r="J108" s="190"/>
      <c r="K108" s="225">
        <f>39828.39/D108</f>
        <v>71.89927917291726</v>
      </c>
      <c r="M108" s="342"/>
      <c r="N108" s="341"/>
    </row>
    <row r="109" spans="1:14" s="237" customFormat="1" ht="19.5" thickBot="1">
      <c r="A109" s="458" t="s">
        <v>139</v>
      </c>
      <c r="B109" s="459"/>
      <c r="C109" s="239" t="s">
        <v>140</v>
      </c>
      <c r="D109" s="239" t="s">
        <v>140</v>
      </c>
      <c r="E109" s="239" t="s">
        <v>140</v>
      </c>
      <c r="F109" s="239" t="s">
        <v>140</v>
      </c>
      <c r="G109" s="257">
        <f>G108+G107+G106+G105+G104+G103</f>
        <v>2601488.6799999997</v>
      </c>
      <c r="I109" s="343"/>
      <c r="L109" s="369">
        <v>2601488.68</v>
      </c>
      <c r="M109" s="342"/>
      <c r="N109" s="343"/>
    </row>
    <row r="110" spans="12:14" ht="15">
      <c r="L110" s="190">
        <f>L109-G109</f>
        <v>0</v>
      </c>
      <c r="M110" s="373"/>
      <c r="N110" s="341"/>
    </row>
    <row r="111" spans="1:6" ht="18.75">
      <c r="A111" s="465" t="s">
        <v>334</v>
      </c>
      <c r="B111" s="465"/>
      <c r="C111" s="465"/>
      <c r="D111" s="465"/>
      <c r="E111" s="465"/>
      <c r="F111" s="189"/>
    </row>
    <row r="112" ht="15.75" thickBot="1"/>
    <row r="113" spans="1:5" ht="57" thickBot="1">
      <c r="A113" s="233" t="s">
        <v>0</v>
      </c>
      <c r="B113" s="234" t="s">
        <v>1</v>
      </c>
      <c r="C113" s="234" t="s">
        <v>174</v>
      </c>
      <c r="D113" s="234" t="s">
        <v>175</v>
      </c>
      <c r="E113" s="235" t="s">
        <v>176</v>
      </c>
    </row>
    <row r="114" spans="1:5" ht="18.75">
      <c r="A114" s="193">
        <v>1</v>
      </c>
      <c r="B114" s="194">
        <v>2</v>
      </c>
      <c r="C114" s="194">
        <v>3</v>
      </c>
      <c r="D114" s="194">
        <v>4</v>
      </c>
      <c r="E114" s="195">
        <v>5</v>
      </c>
    </row>
    <row r="115" spans="1:5" ht="19.5" thickBot="1">
      <c r="A115" s="200"/>
      <c r="B115" s="201"/>
      <c r="C115" s="201"/>
      <c r="D115" s="201"/>
      <c r="E115" s="226"/>
    </row>
    <row r="116" spans="1:5" s="237" customFormat="1" ht="19.5" thickBot="1">
      <c r="A116" s="463" t="s">
        <v>139</v>
      </c>
      <c r="B116" s="464"/>
      <c r="C116" s="252" t="s">
        <v>140</v>
      </c>
      <c r="D116" s="252" t="s">
        <v>140</v>
      </c>
      <c r="E116" s="253" t="s">
        <v>140</v>
      </c>
    </row>
    <row r="118" spans="1:5" ht="39.75" customHeight="1">
      <c r="A118" s="470" t="s">
        <v>335</v>
      </c>
      <c r="B118" s="470"/>
      <c r="C118" s="470"/>
      <c r="D118" s="470"/>
      <c r="E118" s="470"/>
    </row>
    <row r="119" ht="19.5" thickBot="1">
      <c r="A119" s="217"/>
    </row>
    <row r="120" spans="1:5" ht="57" thickBot="1">
      <c r="A120" s="233" t="s">
        <v>0</v>
      </c>
      <c r="B120" s="234" t="s">
        <v>141</v>
      </c>
      <c r="C120" s="234" t="s">
        <v>177</v>
      </c>
      <c r="D120" s="234" t="s">
        <v>178</v>
      </c>
      <c r="E120" s="235" t="s">
        <v>179</v>
      </c>
    </row>
    <row r="121" spans="1:5" ht="18.75">
      <c r="A121" s="193">
        <v>1</v>
      </c>
      <c r="B121" s="194">
        <v>2</v>
      </c>
      <c r="C121" s="194">
        <v>3</v>
      </c>
      <c r="D121" s="194">
        <v>4</v>
      </c>
      <c r="E121" s="195">
        <v>5</v>
      </c>
    </row>
    <row r="122" spans="1:5" ht="18.75">
      <c r="A122" s="196">
        <v>1</v>
      </c>
      <c r="B122" s="227" t="s">
        <v>336</v>
      </c>
      <c r="C122" s="197"/>
      <c r="D122" s="197">
        <v>12</v>
      </c>
      <c r="E122" s="248">
        <v>67200</v>
      </c>
    </row>
    <row r="123" spans="1:5" ht="18.75">
      <c r="A123" s="196">
        <v>2</v>
      </c>
      <c r="B123" s="227" t="s">
        <v>337</v>
      </c>
      <c r="C123" s="197"/>
      <c r="D123" s="197">
        <v>12</v>
      </c>
      <c r="E123" s="248">
        <v>5400</v>
      </c>
    </row>
    <row r="124" spans="1:5" ht="18.75">
      <c r="A124" s="196">
        <v>3</v>
      </c>
      <c r="B124" s="227" t="s">
        <v>338</v>
      </c>
      <c r="C124" s="197"/>
      <c r="D124" s="197">
        <v>12</v>
      </c>
      <c r="E124" s="248">
        <v>57600</v>
      </c>
    </row>
    <row r="125" spans="1:5" ht="37.5">
      <c r="A125" s="196">
        <v>4</v>
      </c>
      <c r="B125" s="227" t="s">
        <v>339</v>
      </c>
      <c r="C125" s="197"/>
      <c r="D125" s="197">
        <v>12</v>
      </c>
      <c r="E125" s="248">
        <v>77040</v>
      </c>
    </row>
    <row r="126" spans="1:5" ht="39.75" customHeight="1">
      <c r="A126" s="196">
        <v>5</v>
      </c>
      <c r="B126" s="227" t="s">
        <v>395</v>
      </c>
      <c r="C126" s="197"/>
      <c r="D126" s="197">
        <v>12</v>
      </c>
      <c r="E126" s="248">
        <v>14760</v>
      </c>
    </row>
    <row r="127" spans="1:5" ht="56.25">
      <c r="A127" s="196">
        <v>6</v>
      </c>
      <c r="B127" s="227" t="s">
        <v>341</v>
      </c>
      <c r="C127" s="197"/>
      <c r="D127" s="197">
        <v>12</v>
      </c>
      <c r="E127" s="248">
        <v>32160</v>
      </c>
    </row>
    <row r="128" spans="1:5" ht="18.75">
      <c r="A128" s="196">
        <v>7</v>
      </c>
      <c r="B128" s="227" t="s">
        <v>342</v>
      </c>
      <c r="C128" s="197"/>
      <c r="D128" s="197"/>
      <c r="E128" s="248">
        <v>200000</v>
      </c>
    </row>
    <row r="129" spans="1:5" ht="37.5">
      <c r="A129" s="196">
        <v>8</v>
      </c>
      <c r="B129" s="227" t="s">
        <v>343</v>
      </c>
      <c r="C129" s="197"/>
      <c r="D129" s="197">
        <v>4</v>
      </c>
      <c r="E129" s="248">
        <v>10000</v>
      </c>
    </row>
    <row r="130" spans="1:5" ht="56.25">
      <c r="A130" s="196">
        <v>9</v>
      </c>
      <c r="B130" s="227" t="s">
        <v>411</v>
      </c>
      <c r="C130" s="197"/>
      <c r="D130" s="197">
        <v>1</v>
      </c>
      <c r="E130" s="248">
        <v>70000</v>
      </c>
    </row>
    <row r="131" spans="1:5" ht="37.5">
      <c r="A131" s="196">
        <v>10</v>
      </c>
      <c r="B131" s="227" t="s">
        <v>344</v>
      </c>
      <c r="C131" s="197"/>
      <c r="D131" s="197"/>
      <c r="E131" s="248">
        <f>400000+60000+200000</f>
        <v>660000</v>
      </c>
    </row>
    <row r="132" spans="1:5" ht="18.75">
      <c r="A132" s="196">
        <v>11</v>
      </c>
      <c r="B132" s="227" t="s">
        <v>412</v>
      </c>
      <c r="C132" s="197"/>
      <c r="D132" s="197"/>
      <c r="E132" s="248">
        <v>20000</v>
      </c>
    </row>
    <row r="133" spans="1:5" ht="37.5">
      <c r="A133" s="196">
        <v>12</v>
      </c>
      <c r="B133" s="227" t="s">
        <v>345</v>
      </c>
      <c r="C133" s="197"/>
      <c r="D133" s="197">
        <v>4</v>
      </c>
      <c r="E133" s="248">
        <v>60000</v>
      </c>
    </row>
    <row r="134" spans="1:5" ht="51" customHeight="1">
      <c r="A134" s="196">
        <v>13</v>
      </c>
      <c r="B134" s="227" t="s">
        <v>346</v>
      </c>
      <c r="C134" s="197"/>
      <c r="D134" s="197">
        <v>1</v>
      </c>
      <c r="E134" s="248">
        <v>30000</v>
      </c>
    </row>
    <row r="135" spans="1:5" ht="42" customHeight="1">
      <c r="A135" s="196">
        <v>15</v>
      </c>
      <c r="B135" s="227" t="s">
        <v>347</v>
      </c>
      <c r="C135" s="197"/>
      <c r="D135" s="197">
        <v>4</v>
      </c>
      <c r="E135" s="248">
        <v>30000</v>
      </c>
    </row>
    <row r="136" spans="1:5" ht="38.25" thickBot="1">
      <c r="A136" s="200">
        <v>16</v>
      </c>
      <c r="B136" s="228" t="s">
        <v>418</v>
      </c>
      <c r="C136" s="201"/>
      <c r="D136" s="201"/>
      <c r="E136" s="250">
        <f>263370.17-84455.65</f>
        <v>178914.52</v>
      </c>
    </row>
    <row r="137" spans="1:6" s="237" customFormat="1" ht="19.5" thickBot="1">
      <c r="A137" s="458" t="s">
        <v>139</v>
      </c>
      <c r="B137" s="459"/>
      <c r="C137" s="239" t="s">
        <v>140</v>
      </c>
      <c r="D137" s="239" t="s">
        <v>140</v>
      </c>
      <c r="E137" s="251">
        <f>SUM(E122:E136)</f>
        <v>1513074.52</v>
      </c>
      <c r="F137" s="254"/>
    </row>
    <row r="139" spans="1:5" ht="37.5" customHeight="1">
      <c r="A139" s="470" t="s">
        <v>348</v>
      </c>
      <c r="B139" s="470"/>
      <c r="C139" s="470"/>
      <c r="D139" s="470"/>
      <c r="E139" s="470"/>
    </row>
    <row r="140" ht="19.5" thickBot="1">
      <c r="A140" s="217"/>
    </row>
    <row r="141" spans="1:4" ht="38.25" thickBot="1">
      <c r="A141" s="233" t="s">
        <v>0</v>
      </c>
      <c r="B141" s="234" t="s">
        <v>141</v>
      </c>
      <c r="C141" s="234" t="s">
        <v>180</v>
      </c>
      <c r="D141" s="235" t="s">
        <v>181</v>
      </c>
    </row>
    <row r="142" spans="1:4" ht="18.75">
      <c r="A142" s="193">
        <v>1</v>
      </c>
      <c r="B142" s="194">
        <v>2</v>
      </c>
      <c r="C142" s="194">
        <v>3</v>
      </c>
      <c r="D142" s="195">
        <v>4</v>
      </c>
    </row>
    <row r="143" spans="1:4" ht="24.75" customHeight="1">
      <c r="A143" s="196">
        <v>1</v>
      </c>
      <c r="B143" s="227" t="s">
        <v>349</v>
      </c>
      <c r="C143" s="197">
        <v>1</v>
      </c>
      <c r="D143" s="248">
        <v>80400</v>
      </c>
    </row>
    <row r="144" spans="1:4" ht="42" customHeight="1">
      <c r="A144" s="196">
        <v>2</v>
      </c>
      <c r="B144" s="227" t="s">
        <v>350</v>
      </c>
      <c r="C144" s="197">
        <v>1</v>
      </c>
      <c r="D144" s="248">
        <v>132000</v>
      </c>
    </row>
    <row r="145" spans="1:4" ht="62.25" customHeight="1">
      <c r="A145" s="196">
        <v>3</v>
      </c>
      <c r="B145" s="227" t="s">
        <v>351</v>
      </c>
      <c r="C145" s="197"/>
      <c r="D145" s="248">
        <v>40000</v>
      </c>
    </row>
    <row r="146" spans="1:4" ht="24.75" customHeight="1">
      <c r="A146" s="196">
        <v>4</v>
      </c>
      <c r="B146" s="227" t="s">
        <v>352</v>
      </c>
      <c r="C146" s="197">
        <v>1</v>
      </c>
      <c r="D146" s="248">
        <v>285000</v>
      </c>
    </row>
    <row r="147" spans="1:4" ht="24.75" customHeight="1">
      <c r="A147" s="196">
        <v>5</v>
      </c>
      <c r="B147" s="227" t="s">
        <v>353</v>
      </c>
      <c r="C147" s="197"/>
      <c r="D147" s="248">
        <v>60000</v>
      </c>
    </row>
    <row r="148" spans="1:4" ht="18.75">
      <c r="A148" s="196">
        <v>6</v>
      </c>
      <c r="B148" s="227" t="s">
        <v>354</v>
      </c>
      <c r="C148" s="197"/>
      <c r="D148" s="248">
        <v>50000</v>
      </c>
    </row>
    <row r="149" spans="1:4" ht="18.75">
      <c r="A149" s="196">
        <v>7</v>
      </c>
      <c r="B149" s="227" t="s">
        <v>419</v>
      </c>
      <c r="C149" s="197"/>
      <c r="D149" s="248">
        <f>345749.83+222904.47-1080</f>
        <v>567574.3</v>
      </c>
    </row>
    <row r="150" spans="1:4" ht="18.75">
      <c r="A150" s="196">
        <v>8</v>
      </c>
      <c r="B150" s="227" t="s">
        <v>361</v>
      </c>
      <c r="C150" s="197">
        <v>1</v>
      </c>
      <c r="D150" s="248">
        <v>52200</v>
      </c>
    </row>
    <row r="151" spans="1:4" ht="19.5" thickBot="1">
      <c r="A151" s="200">
        <v>9</v>
      </c>
      <c r="B151" s="228" t="s">
        <v>362</v>
      </c>
      <c r="C151" s="201"/>
      <c r="D151" s="250">
        <v>60000</v>
      </c>
    </row>
    <row r="152" spans="1:4" s="237" customFormat="1" ht="19.5" thickBot="1">
      <c r="A152" s="458" t="s">
        <v>139</v>
      </c>
      <c r="B152" s="459"/>
      <c r="C152" s="239" t="s">
        <v>140</v>
      </c>
      <c r="D152" s="251">
        <f>D149+D148+D147+D146+D145+D144+D143+D150+D151</f>
        <v>1327174.3</v>
      </c>
    </row>
    <row r="154" spans="1:6" ht="51" customHeight="1">
      <c r="A154" s="470" t="s">
        <v>355</v>
      </c>
      <c r="B154" s="470"/>
      <c r="C154" s="470"/>
      <c r="D154" s="470"/>
      <c r="E154" s="470"/>
      <c r="F154" s="470"/>
    </row>
    <row r="155" ht="15.75" thickBot="1"/>
    <row r="156" spans="1:5" ht="38.25" thickBot="1">
      <c r="A156" s="181" t="s">
        <v>0</v>
      </c>
      <c r="B156" s="182" t="s">
        <v>141</v>
      </c>
      <c r="C156" s="182" t="s">
        <v>174</v>
      </c>
      <c r="D156" s="182" t="s">
        <v>182</v>
      </c>
      <c r="E156" s="183" t="s">
        <v>421</v>
      </c>
    </row>
    <row r="157" spans="1:5" ht="18.75">
      <c r="A157" s="193"/>
      <c r="B157" s="194">
        <v>1</v>
      </c>
      <c r="C157" s="194">
        <v>2</v>
      </c>
      <c r="D157" s="194">
        <v>3</v>
      </c>
      <c r="E157" s="195">
        <v>4</v>
      </c>
    </row>
    <row r="158" spans="1:5" ht="46.5" customHeight="1">
      <c r="A158" s="200">
        <v>1</v>
      </c>
      <c r="B158" s="228" t="s">
        <v>356</v>
      </c>
      <c r="C158" s="201"/>
      <c r="D158" s="220">
        <f>E158</f>
        <v>240960</v>
      </c>
      <c r="E158" s="178">
        <v>240960</v>
      </c>
    </row>
    <row r="159" spans="1:5" ht="60" customHeight="1" thickBot="1">
      <c r="A159" s="200">
        <v>2</v>
      </c>
      <c r="B159" s="228" t="s">
        <v>434</v>
      </c>
      <c r="C159" s="201"/>
      <c r="D159" s="220">
        <f>E159</f>
        <v>310000</v>
      </c>
      <c r="E159" s="178">
        <v>310000</v>
      </c>
    </row>
    <row r="160" spans="1:5" ht="25.5" customHeight="1" thickBot="1">
      <c r="A160" s="460" t="s">
        <v>357</v>
      </c>
      <c r="B160" s="461"/>
      <c r="C160" s="206" t="s">
        <v>422</v>
      </c>
      <c r="D160" s="221">
        <f>D158+D159</f>
        <v>550960</v>
      </c>
      <c r="E160" s="221">
        <f>E158+E159</f>
        <v>550960</v>
      </c>
    </row>
    <row r="161" spans="1:12" ht="49.5" customHeight="1">
      <c r="A161" s="193">
        <v>1</v>
      </c>
      <c r="B161" s="229" t="s">
        <v>358</v>
      </c>
      <c r="C161" s="194"/>
      <c r="D161" s="230">
        <f>E161</f>
        <v>876968.73</v>
      </c>
      <c r="E161" s="180">
        <f>1030000-153031.27</f>
        <v>876968.73</v>
      </c>
      <c r="L161" s="357">
        <f>E163+E160+D152+E137+G109+E97+F90+E78+D55+F43+F36+J28</f>
        <v>40349088.74563448</v>
      </c>
    </row>
    <row r="162" spans="1:13" ht="85.5" customHeight="1" thickBot="1">
      <c r="A162" s="200">
        <v>2</v>
      </c>
      <c r="B162" s="228" t="s">
        <v>359</v>
      </c>
      <c r="C162" s="201"/>
      <c r="D162" s="220">
        <f>E162</f>
        <v>190000</v>
      </c>
      <c r="E162" s="178">
        <v>190000</v>
      </c>
      <c r="L162" s="258"/>
      <c r="M162" s="258"/>
    </row>
    <row r="163" spans="1:13" ht="30.75" customHeight="1" thickBot="1">
      <c r="A163" s="460" t="s">
        <v>360</v>
      </c>
      <c r="B163" s="461"/>
      <c r="C163" s="206" t="s">
        <v>422</v>
      </c>
      <c r="D163" s="221">
        <f>D161+D162</f>
        <v>1066968.73</v>
      </c>
      <c r="E163" s="179">
        <f>E162+E161</f>
        <v>1066968.73</v>
      </c>
      <c r="L163" s="258">
        <f>3985417.55+500000</f>
        <v>4485417.55</v>
      </c>
      <c r="M163" s="258"/>
    </row>
    <row r="164" spans="12:13" ht="15">
      <c r="L164" s="258">
        <f>F36+F43+E65+F90+E97+E137+D152+E160+E163</f>
        <v>4485417.550000001</v>
      </c>
      <c r="M164" s="258">
        <f>L164-L163</f>
        <v>0</v>
      </c>
    </row>
    <row r="165" spans="12:13" ht="15">
      <c r="L165" s="258"/>
      <c r="M165" s="258"/>
    </row>
    <row r="166" spans="12:13" ht="15">
      <c r="L166" s="258"/>
      <c r="M166" s="258"/>
    </row>
    <row r="167" spans="12:13" ht="15">
      <c r="L167" s="258" t="s">
        <v>448</v>
      </c>
      <c r="M167" s="258"/>
    </row>
    <row r="168" spans="1:12" s="232" customFormat="1" ht="18.75">
      <c r="A168" s="462" t="s">
        <v>420</v>
      </c>
      <c r="B168" s="462"/>
      <c r="C168" s="462"/>
      <c r="D168" s="462"/>
      <c r="E168" s="462"/>
      <c r="L168" s="374">
        <f>37716565.75-1100000</f>
        <v>36616565.75</v>
      </c>
    </row>
    <row r="169" spans="1:12" ht="18.75">
      <c r="A169" s="462" t="s">
        <v>435</v>
      </c>
      <c r="B169" s="462"/>
      <c r="C169" s="462"/>
      <c r="D169" s="462"/>
      <c r="E169" s="462"/>
      <c r="L169" s="374">
        <f>J28+M29+F36+F43+D55+M56+E65+E78+F90+E97+G109+E137+D152+E160+E163</f>
        <v>40349088.7499</v>
      </c>
    </row>
    <row r="170" ht="18.75">
      <c r="L170" s="374">
        <f>L168-L169</f>
        <v>-3732522.9998999983</v>
      </c>
    </row>
    <row r="171" ht="15">
      <c r="L171" s="375"/>
    </row>
  </sheetData>
  <sheetProtection/>
  <mergeCells count="50">
    <mergeCell ref="A109:B109"/>
    <mergeCell ref="A72:G72"/>
    <mergeCell ref="A80:E80"/>
    <mergeCell ref="A154:F154"/>
    <mergeCell ref="A85:F85"/>
    <mergeCell ref="A92:F92"/>
    <mergeCell ref="A99:F99"/>
    <mergeCell ref="A111:E111"/>
    <mergeCell ref="A118:E118"/>
    <mergeCell ref="A139:E139"/>
    <mergeCell ref="A97:B97"/>
    <mergeCell ref="D50:D51"/>
    <mergeCell ref="A57:F57"/>
    <mergeCell ref="A59:F59"/>
    <mergeCell ref="A60:F60"/>
    <mergeCell ref="A68:G68"/>
    <mergeCell ref="A71:G71"/>
    <mergeCell ref="I20:I22"/>
    <mergeCell ref="J20:J22"/>
    <mergeCell ref="D21:D22"/>
    <mergeCell ref="E21:G21"/>
    <mergeCell ref="A28:B28"/>
    <mergeCell ref="A31:F31"/>
    <mergeCell ref="A11:J11"/>
    <mergeCell ref="A13:J13"/>
    <mergeCell ref="A15:J15"/>
    <mergeCell ref="A16:J16"/>
    <mergeCell ref="A18:J18"/>
    <mergeCell ref="A20:A22"/>
    <mergeCell ref="B20:B22"/>
    <mergeCell ref="C20:C22"/>
    <mergeCell ref="D20:G20"/>
    <mergeCell ref="H20:H22"/>
    <mergeCell ref="A36:B36"/>
    <mergeCell ref="A43:B43"/>
    <mergeCell ref="A55:B55"/>
    <mergeCell ref="A65:B65"/>
    <mergeCell ref="A78:B78"/>
    <mergeCell ref="A90:B90"/>
    <mergeCell ref="A38:F38"/>
    <mergeCell ref="A45:E45"/>
    <mergeCell ref="A50:A51"/>
    <mergeCell ref="C50:C51"/>
    <mergeCell ref="A169:E169"/>
    <mergeCell ref="A116:B116"/>
    <mergeCell ref="A137:B137"/>
    <mergeCell ref="A152:B152"/>
    <mergeCell ref="A160:B160"/>
    <mergeCell ref="A163:B163"/>
    <mergeCell ref="A168:E168"/>
  </mergeCells>
  <printOptions/>
  <pageMargins left="0.7" right="0.7" top="0.75" bottom="0.75" header="0.3" footer="0.3"/>
  <pageSetup horizontalDpi="600" verticalDpi="600" orientation="landscape" paperSize="9" scale="45" r:id="rId1"/>
  <rowBreaks count="5" manualBreakCount="5">
    <brk id="36" max="9" man="1"/>
    <brk id="55" max="9" man="1"/>
    <brk id="90" max="9" man="1"/>
    <brk id="116" max="9" man="1"/>
    <brk id="152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165"/>
  <sheetViews>
    <sheetView view="pageBreakPreview" zoomScale="60" zoomScaleNormal="72" zoomScalePageLayoutView="0" workbookViewId="0" topLeftCell="A1">
      <selection activeCell="G170" sqref="G170"/>
    </sheetView>
  </sheetViews>
  <sheetFormatPr defaultColWidth="9.140625" defaultRowHeight="15"/>
  <cols>
    <col min="1" max="1" width="8.57421875" style="0" customWidth="1"/>
    <col min="2" max="2" width="34.8515625" style="0" customWidth="1"/>
    <col min="3" max="3" width="16.421875" style="0" customWidth="1"/>
    <col min="4" max="4" width="17.140625" style="0" customWidth="1"/>
    <col min="5" max="5" width="19.8515625" style="0" customWidth="1"/>
    <col min="6" max="6" width="21.421875" style="0" customWidth="1"/>
    <col min="7" max="7" width="19.8515625" style="0" customWidth="1"/>
    <col min="8" max="8" width="15.421875" style="0" customWidth="1"/>
    <col min="9" max="9" width="15.00390625" style="0" customWidth="1"/>
    <col min="10" max="10" width="21.140625" style="0" customWidth="1"/>
    <col min="12" max="12" width="25.8515625" style="0" customWidth="1"/>
    <col min="13" max="13" width="18.7109375" style="0" customWidth="1"/>
    <col min="14" max="14" width="9.421875" style="0" bestFit="1" customWidth="1"/>
    <col min="18" max="19" width="13.421875" style="0" bestFit="1" customWidth="1"/>
  </cols>
  <sheetData>
    <row r="1" ht="18.75">
      <c r="J1" s="8" t="s">
        <v>190</v>
      </c>
    </row>
    <row r="2" ht="18.75">
      <c r="J2" s="8" t="s">
        <v>120</v>
      </c>
    </row>
    <row r="3" ht="16.5">
      <c r="J3" s="17" t="s">
        <v>121</v>
      </c>
    </row>
    <row r="4" ht="16.5">
      <c r="J4" s="17" t="s">
        <v>122</v>
      </c>
    </row>
    <row r="5" ht="16.5">
      <c r="J5" s="17" t="s">
        <v>123</v>
      </c>
    </row>
    <row r="6" ht="16.5">
      <c r="J6" s="17" t="s">
        <v>124</v>
      </c>
    </row>
    <row r="7" ht="16.5">
      <c r="J7" s="17" t="s">
        <v>125</v>
      </c>
    </row>
    <row r="8" ht="16.5">
      <c r="J8" s="17" t="s">
        <v>126</v>
      </c>
    </row>
    <row r="11" spans="1:10" ht="22.5" customHeight="1">
      <c r="A11" s="444" t="s">
        <v>413</v>
      </c>
      <c r="B11" s="444"/>
      <c r="C11" s="444"/>
      <c r="D11" s="444"/>
      <c r="E11" s="444"/>
      <c r="F11" s="444"/>
      <c r="G11" s="444"/>
      <c r="H11" s="444"/>
      <c r="I11" s="444"/>
      <c r="J11" s="444"/>
    </row>
    <row r="12" spans="1:10" ht="18.75" hidden="1">
      <c r="A12" s="66"/>
      <c r="B12" s="66"/>
      <c r="C12" s="159"/>
      <c r="D12" s="66"/>
      <c r="E12" s="66"/>
      <c r="F12" s="66"/>
      <c r="G12" s="66"/>
      <c r="H12" s="66"/>
      <c r="I12" s="66"/>
      <c r="J12" s="66"/>
    </row>
    <row r="13" spans="1:10" ht="18.75" hidden="1">
      <c r="A13" s="444" t="s">
        <v>127</v>
      </c>
      <c r="B13" s="444"/>
      <c r="C13" s="444"/>
      <c r="D13" s="444"/>
      <c r="E13" s="444"/>
      <c r="F13" s="444"/>
      <c r="G13" s="444"/>
      <c r="H13" s="444"/>
      <c r="I13" s="444"/>
      <c r="J13" s="444"/>
    </row>
    <row r="14" spans="1:10" ht="15" hidden="1">
      <c r="A14" s="66"/>
      <c r="B14" s="66"/>
      <c r="C14" s="66"/>
      <c r="D14" s="66"/>
      <c r="E14" s="66"/>
      <c r="F14" s="66"/>
      <c r="G14" s="66"/>
      <c r="H14" s="66"/>
      <c r="I14" s="66"/>
      <c r="J14" s="66"/>
    </row>
    <row r="15" spans="1:10" ht="18.75" hidden="1">
      <c r="A15" s="411" t="s">
        <v>306</v>
      </c>
      <c r="B15" s="411"/>
      <c r="C15" s="411"/>
      <c r="D15" s="411"/>
      <c r="E15" s="411"/>
      <c r="F15" s="411"/>
      <c r="G15" s="411"/>
      <c r="H15" s="411"/>
      <c r="I15" s="411"/>
      <c r="J15" s="411"/>
    </row>
    <row r="16" spans="1:10" ht="21" customHeight="1" hidden="1">
      <c r="A16" s="411" t="s">
        <v>307</v>
      </c>
      <c r="B16" s="411"/>
      <c r="C16" s="411"/>
      <c r="D16" s="411"/>
      <c r="E16" s="411"/>
      <c r="F16" s="411"/>
      <c r="G16" s="411"/>
      <c r="H16" s="411"/>
      <c r="I16" s="411"/>
      <c r="J16" s="411"/>
    </row>
    <row r="17" ht="18.75" hidden="1">
      <c r="A17" s="18"/>
    </row>
    <row r="18" spans="1:10" ht="18.75" hidden="1">
      <c r="A18" s="444" t="s">
        <v>128</v>
      </c>
      <c r="B18" s="444"/>
      <c r="C18" s="444"/>
      <c r="D18" s="444"/>
      <c r="E18" s="444"/>
      <c r="F18" s="444"/>
      <c r="G18" s="444"/>
      <c r="H18" s="444"/>
      <c r="I18" s="444"/>
      <c r="J18" s="444"/>
    </row>
    <row r="19" ht="15" hidden="1">
      <c r="I19">
        <v>1.6</v>
      </c>
    </row>
    <row r="20" spans="1:10" ht="36" customHeight="1" hidden="1" thickBot="1">
      <c r="A20" s="482" t="s">
        <v>0</v>
      </c>
      <c r="B20" s="482" t="s">
        <v>129</v>
      </c>
      <c r="C20" s="482" t="s">
        <v>130</v>
      </c>
      <c r="D20" s="485" t="s">
        <v>131</v>
      </c>
      <c r="E20" s="486"/>
      <c r="F20" s="486"/>
      <c r="G20" s="487"/>
      <c r="H20" s="482" t="s">
        <v>132</v>
      </c>
      <c r="I20" s="482" t="s">
        <v>133</v>
      </c>
      <c r="J20" s="482" t="s">
        <v>134</v>
      </c>
    </row>
    <row r="21" spans="1:10" ht="19.5" hidden="1" thickBot="1">
      <c r="A21" s="483"/>
      <c r="B21" s="483"/>
      <c r="C21" s="483"/>
      <c r="D21" s="482" t="s">
        <v>135</v>
      </c>
      <c r="E21" s="485" t="s">
        <v>22</v>
      </c>
      <c r="F21" s="486"/>
      <c r="G21" s="487"/>
      <c r="H21" s="483"/>
      <c r="I21" s="483"/>
      <c r="J21" s="483"/>
    </row>
    <row r="22" spans="1:10" ht="109.5" customHeight="1" hidden="1" thickBot="1">
      <c r="A22" s="484"/>
      <c r="B22" s="484"/>
      <c r="C22" s="484"/>
      <c r="D22" s="484"/>
      <c r="E22" s="161" t="s">
        <v>136</v>
      </c>
      <c r="F22" s="161" t="s">
        <v>137</v>
      </c>
      <c r="G22" s="161" t="s">
        <v>138</v>
      </c>
      <c r="H22" s="484"/>
      <c r="I22" s="484"/>
      <c r="J22" s="484"/>
    </row>
    <row r="23" spans="1:10" ht="19.5" hidden="1" thickBot="1">
      <c r="A23" s="154">
        <v>1</v>
      </c>
      <c r="B23" s="161">
        <v>2</v>
      </c>
      <c r="C23" s="161">
        <v>3</v>
      </c>
      <c r="D23" s="161">
        <v>4</v>
      </c>
      <c r="E23" s="161">
        <v>5</v>
      </c>
      <c r="F23" s="161">
        <v>6</v>
      </c>
      <c r="G23" s="161">
        <v>7</v>
      </c>
      <c r="H23" s="161">
        <v>8</v>
      </c>
      <c r="I23" s="161">
        <v>9</v>
      </c>
      <c r="J23" s="161">
        <v>10</v>
      </c>
    </row>
    <row r="24" spans="1:13" ht="38.25" hidden="1" thickBot="1">
      <c r="A24" s="154"/>
      <c r="B24" s="154" t="s">
        <v>308</v>
      </c>
      <c r="C24" s="161"/>
      <c r="D24" s="16"/>
      <c r="E24" s="16"/>
      <c r="F24" s="16"/>
      <c r="G24" s="16"/>
      <c r="H24" s="16"/>
      <c r="I24" s="16"/>
      <c r="J24" s="16"/>
      <c r="L24" s="68"/>
      <c r="M24" s="68"/>
    </row>
    <row r="25" spans="1:13" ht="19.5" hidden="1" thickBot="1">
      <c r="A25" s="154"/>
      <c r="B25" s="154" t="s">
        <v>309</v>
      </c>
      <c r="C25" s="161"/>
      <c r="D25" s="16"/>
      <c r="E25" s="16"/>
      <c r="F25" s="16"/>
      <c r="G25" s="16"/>
      <c r="H25" s="69"/>
      <c r="I25" s="16"/>
      <c r="J25" s="16"/>
      <c r="L25" s="68"/>
      <c r="M25" s="68"/>
    </row>
    <row r="26" spans="1:12" ht="38.25" hidden="1" thickBot="1">
      <c r="A26" s="160"/>
      <c r="B26" s="154" t="s">
        <v>310</v>
      </c>
      <c r="C26" s="161"/>
      <c r="D26" s="16"/>
      <c r="E26" s="16"/>
      <c r="F26" s="16"/>
      <c r="G26" s="16"/>
      <c r="H26" s="16"/>
      <c r="I26" s="16"/>
      <c r="J26" s="16"/>
      <c r="L26" s="68"/>
    </row>
    <row r="27" spans="1:19" ht="19.5" hidden="1" thickBot="1">
      <c r="A27" s="160"/>
      <c r="B27" s="154" t="s">
        <v>311</v>
      </c>
      <c r="C27" s="161"/>
      <c r="D27" s="16"/>
      <c r="E27" s="70"/>
      <c r="F27" s="70"/>
      <c r="G27" s="16"/>
      <c r="H27" s="161"/>
      <c r="I27" s="16"/>
      <c r="J27" s="16"/>
      <c r="L27" s="68"/>
      <c r="M27" s="68"/>
      <c r="R27" s="68">
        <f>L27-J28</f>
        <v>0</v>
      </c>
      <c r="S27" s="71">
        <f>R27-259000-100000</f>
        <v>-359000</v>
      </c>
    </row>
    <row r="28" spans="1:12" ht="39.75" customHeight="1" hidden="1" thickBot="1">
      <c r="A28" s="488" t="s">
        <v>139</v>
      </c>
      <c r="B28" s="489"/>
      <c r="C28" s="72" t="s">
        <v>140</v>
      </c>
      <c r="D28" s="72"/>
      <c r="E28" s="72" t="s">
        <v>140</v>
      </c>
      <c r="F28" s="72" t="s">
        <v>140</v>
      </c>
      <c r="G28" s="72" t="s">
        <v>140</v>
      </c>
      <c r="H28" s="73" t="s">
        <v>140</v>
      </c>
      <c r="I28" s="72" t="s">
        <v>140</v>
      </c>
      <c r="J28" s="74">
        <f>SUM(J24:J27)</f>
        <v>0</v>
      </c>
      <c r="L28" s="68"/>
    </row>
    <row r="29" spans="12:13" ht="15" hidden="1">
      <c r="L29" s="75"/>
      <c r="M29" s="68"/>
    </row>
    <row r="30" spans="12:13" ht="15" hidden="1">
      <c r="L30" s="68"/>
      <c r="M30" s="68"/>
    </row>
    <row r="31" spans="1:12" s="76" customFormat="1" ht="38.25" customHeight="1" hidden="1">
      <c r="A31" s="475" t="s">
        <v>183</v>
      </c>
      <c r="B31" s="475"/>
      <c r="C31" s="475"/>
      <c r="D31" s="475"/>
      <c r="E31" s="475"/>
      <c r="F31" s="475"/>
      <c r="L31" s="77"/>
    </row>
    <row r="32" s="76" customFormat="1" ht="15" hidden="1">
      <c r="L32" s="77"/>
    </row>
    <row r="33" spans="1:12" s="76" customFormat="1" ht="123" customHeight="1" hidden="1" thickBot="1">
      <c r="A33" s="78" t="s">
        <v>0</v>
      </c>
      <c r="B33" s="162" t="s">
        <v>141</v>
      </c>
      <c r="C33" s="162" t="s">
        <v>142</v>
      </c>
      <c r="D33" s="162" t="s">
        <v>143</v>
      </c>
      <c r="E33" s="162" t="s">
        <v>144</v>
      </c>
      <c r="F33" s="162" t="s">
        <v>145</v>
      </c>
      <c r="L33" s="77"/>
    </row>
    <row r="34" spans="1:6" s="76" customFormat="1" ht="19.5" hidden="1" thickBot="1">
      <c r="A34" s="157">
        <v>1</v>
      </c>
      <c r="B34" s="58">
        <v>2</v>
      </c>
      <c r="C34" s="58">
        <v>3</v>
      </c>
      <c r="D34" s="58">
        <v>4</v>
      </c>
      <c r="E34" s="58">
        <v>5</v>
      </c>
      <c r="F34" s="58">
        <v>6</v>
      </c>
    </row>
    <row r="35" spans="1:6" s="76" customFormat="1" ht="19.5" hidden="1" thickBot="1">
      <c r="A35" s="157">
        <v>1</v>
      </c>
      <c r="B35" s="58"/>
      <c r="C35" s="80">
        <v>0</v>
      </c>
      <c r="D35" s="80">
        <v>0</v>
      </c>
      <c r="E35" s="80">
        <v>0</v>
      </c>
      <c r="F35" s="80">
        <f>C35*D35*E35</f>
        <v>0</v>
      </c>
    </row>
    <row r="36" spans="1:6" s="76" customFormat="1" ht="19.5" hidden="1" thickBot="1">
      <c r="A36" s="157"/>
      <c r="B36" s="81" t="s">
        <v>139</v>
      </c>
      <c r="C36" s="82" t="s">
        <v>140</v>
      </c>
      <c r="D36" s="82" t="s">
        <v>140</v>
      </c>
      <c r="E36" s="82" t="s">
        <v>140</v>
      </c>
      <c r="F36" s="83">
        <f>F35</f>
        <v>0</v>
      </c>
    </row>
    <row r="37" s="76" customFormat="1" ht="15" hidden="1"/>
    <row r="38" spans="1:6" s="76" customFormat="1" ht="18.75" hidden="1">
      <c r="A38" s="475" t="s">
        <v>184</v>
      </c>
      <c r="B38" s="475"/>
      <c r="C38" s="475"/>
      <c r="D38" s="475"/>
      <c r="E38" s="475"/>
      <c r="F38" s="475"/>
    </row>
    <row r="39" s="76" customFormat="1" ht="15" hidden="1"/>
    <row r="40" spans="1:6" s="76" customFormat="1" ht="124.5" customHeight="1" hidden="1" thickBot="1">
      <c r="A40" s="78" t="s">
        <v>0</v>
      </c>
      <c r="B40" s="162" t="s">
        <v>141</v>
      </c>
      <c r="C40" s="162" t="s">
        <v>146</v>
      </c>
      <c r="D40" s="162" t="s">
        <v>147</v>
      </c>
      <c r="E40" s="162" t="s">
        <v>148</v>
      </c>
      <c r="F40" s="162" t="s">
        <v>145</v>
      </c>
    </row>
    <row r="41" spans="1:6" s="76" customFormat="1" ht="19.5" hidden="1" thickBot="1">
      <c r="A41" s="157">
        <v>1</v>
      </c>
      <c r="B41" s="58">
        <v>2</v>
      </c>
      <c r="C41" s="58">
        <v>3</v>
      </c>
      <c r="D41" s="58">
        <v>4</v>
      </c>
      <c r="E41" s="58">
        <v>5</v>
      </c>
      <c r="F41" s="58">
        <v>6</v>
      </c>
    </row>
    <row r="42" spans="1:6" s="76" customFormat="1" ht="51.75" customHeight="1" hidden="1" thickBot="1">
      <c r="A42" s="157">
        <v>1</v>
      </c>
      <c r="B42" s="58" t="s">
        <v>312</v>
      </c>
      <c r="C42" s="58"/>
      <c r="D42" s="58"/>
      <c r="E42" s="80"/>
      <c r="F42" s="80">
        <f>C42*D42*E42</f>
        <v>0</v>
      </c>
    </row>
    <row r="43" spans="1:6" s="76" customFormat="1" ht="19.5" hidden="1" thickBot="1">
      <c r="A43" s="157"/>
      <c r="B43" s="81" t="s">
        <v>139</v>
      </c>
      <c r="C43" s="82" t="s">
        <v>140</v>
      </c>
      <c r="D43" s="82" t="s">
        <v>140</v>
      </c>
      <c r="E43" s="82" t="s">
        <v>140</v>
      </c>
      <c r="F43" s="84">
        <f>F42</f>
        <v>0</v>
      </c>
    </row>
    <row r="44" s="76" customFormat="1" ht="15" hidden="1"/>
    <row r="45" spans="1:5" s="76" customFormat="1" ht="80.25" customHeight="1" hidden="1">
      <c r="A45" s="475" t="s">
        <v>185</v>
      </c>
      <c r="B45" s="475"/>
      <c r="C45" s="475"/>
      <c r="D45" s="475"/>
      <c r="E45" s="475"/>
    </row>
    <row r="46" s="76" customFormat="1" ht="15" hidden="1"/>
    <row r="47" spans="1:4" s="76" customFormat="1" ht="144.75" customHeight="1" hidden="1" thickBot="1">
      <c r="A47" s="78" t="s">
        <v>0</v>
      </c>
      <c r="B47" s="162" t="s">
        <v>149</v>
      </c>
      <c r="C47" s="162" t="s">
        <v>150</v>
      </c>
      <c r="D47" s="162" t="s">
        <v>151</v>
      </c>
    </row>
    <row r="48" spans="1:4" s="76" customFormat="1" ht="19.5" hidden="1" thickBot="1">
      <c r="A48" s="157">
        <v>1</v>
      </c>
      <c r="B48" s="58">
        <v>2</v>
      </c>
      <c r="C48" s="58">
        <v>3</v>
      </c>
      <c r="D48" s="58">
        <v>4</v>
      </c>
    </row>
    <row r="49" spans="1:4" s="76" customFormat="1" ht="113.25" customHeight="1" hidden="1" thickBot="1">
      <c r="A49" s="157">
        <v>1</v>
      </c>
      <c r="B49" s="85" t="s">
        <v>152</v>
      </c>
      <c r="C49" s="58" t="s">
        <v>140</v>
      </c>
      <c r="D49" s="59"/>
    </row>
    <row r="50" spans="1:4" s="76" customFormat="1" ht="18.75" hidden="1">
      <c r="A50" s="478" t="s">
        <v>153</v>
      </c>
      <c r="B50" s="86" t="s">
        <v>22</v>
      </c>
      <c r="C50" s="478"/>
      <c r="D50" s="480"/>
    </row>
    <row r="51" spans="1:4" s="76" customFormat="1" ht="19.5" hidden="1" thickBot="1">
      <c r="A51" s="479"/>
      <c r="B51" s="88" t="s">
        <v>154</v>
      </c>
      <c r="C51" s="479"/>
      <c r="D51" s="481"/>
    </row>
    <row r="52" spans="1:4" s="76" customFormat="1" ht="19.5" hidden="1" thickBot="1">
      <c r="A52" s="157" t="s">
        <v>155</v>
      </c>
      <c r="B52" s="89" t="s">
        <v>156</v>
      </c>
      <c r="C52" s="58"/>
      <c r="D52" s="59"/>
    </row>
    <row r="53" spans="1:4" s="76" customFormat="1" ht="120.75" customHeight="1" hidden="1" thickBot="1">
      <c r="A53" s="157">
        <v>2</v>
      </c>
      <c r="B53" s="85" t="s">
        <v>157</v>
      </c>
      <c r="C53" s="58" t="s">
        <v>140</v>
      </c>
      <c r="D53" s="59"/>
    </row>
    <row r="54" spans="1:4" s="76" customFormat="1" ht="164.25" customHeight="1" hidden="1" thickBot="1">
      <c r="A54" s="157">
        <v>3</v>
      </c>
      <c r="B54" s="85" t="s">
        <v>158</v>
      </c>
      <c r="C54" s="59">
        <f>J28</f>
        <v>0</v>
      </c>
      <c r="D54" s="59">
        <f>C54*5.1%</f>
        <v>0</v>
      </c>
    </row>
    <row r="55" spans="1:4" s="76" customFormat="1" ht="19.5" hidden="1" thickBot="1">
      <c r="A55" s="157"/>
      <c r="B55" s="81" t="s">
        <v>139</v>
      </c>
      <c r="C55" s="82" t="s">
        <v>140</v>
      </c>
      <c r="D55" s="90">
        <f>D50+D53+D54</f>
        <v>0</v>
      </c>
    </row>
    <row r="56" s="76" customFormat="1" ht="15" hidden="1"/>
    <row r="57" spans="1:6" s="76" customFormat="1" ht="36" customHeight="1" hidden="1">
      <c r="A57" s="475" t="s">
        <v>186</v>
      </c>
      <c r="B57" s="475"/>
      <c r="C57" s="475"/>
      <c r="D57" s="475"/>
      <c r="E57" s="475"/>
      <c r="F57" s="475"/>
    </row>
    <row r="58" s="76" customFormat="1" ht="15" hidden="1"/>
    <row r="59" spans="1:6" s="76" customFormat="1" ht="18.75" hidden="1">
      <c r="A59" s="476" t="s">
        <v>187</v>
      </c>
      <c r="B59" s="476"/>
      <c r="C59" s="476"/>
      <c r="D59" s="476"/>
      <c r="E59" s="476"/>
      <c r="F59" s="476"/>
    </row>
    <row r="60" spans="1:6" s="76" customFormat="1" ht="18.75" hidden="1">
      <c r="A60" s="476" t="s">
        <v>188</v>
      </c>
      <c r="B60" s="476"/>
      <c r="C60" s="476"/>
      <c r="D60" s="476"/>
      <c r="E60" s="476"/>
      <c r="F60" s="476"/>
    </row>
    <row r="61" s="76" customFormat="1" ht="18.75" hidden="1">
      <c r="A61" s="91"/>
    </row>
    <row r="62" spans="1:5" s="76" customFormat="1" ht="108" customHeight="1" hidden="1" thickBot="1">
      <c r="A62" s="78" t="s">
        <v>0</v>
      </c>
      <c r="B62" s="162" t="s">
        <v>1</v>
      </c>
      <c r="C62" s="162" t="s">
        <v>159</v>
      </c>
      <c r="D62" s="162" t="s">
        <v>160</v>
      </c>
      <c r="E62" s="162" t="s">
        <v>161</v>
      </c>
    </row>
    <row r="63" spans="1:5" s="76" customFormat="1" ht="19.5" hidden="1" thickBot="1">
      <c r="A63" s="157">
        <v>1</v>
      </c>
      <c r="B63" s="58">
        <v>2</v>
      </c>
      <c r="C63" s="58">
        <v>3</v>
      </c>
      <c r="D63" s="58">
        <v>4</v>
      </c>
      <c r="E63" s="58">
        <v>5</v>
      </c>
    </row>
    <row r="64" spans="1:5" s="76" customFormat="1" ht="19.5" hidden="1" thickBot="1">
      <c r="A64" s="157"/>
      <c r="B64" s="58"/>
      <c r="C64" s="58"/>
      <c r="D64" s="58"/>
      <c r="E64" s="58"/>
    </row>
    <row r="65" spans="1:5" s="76" customFormat="1" ht="19.5" hidden="1" thickBot="1">
      <c r="A65" s="157"/>
      <c r="B65" s="81" t="s">
        <v>139</v>
      </c>
      <c r="C65" s="82" t="s">
        <v>140</v>
      </c>
      <c r="D65" s="82" t="s">
        <v>140</v>
      </c>
      <c r="E65" s="82"/>
    </row>
    <row r="66" s="76" customFormat="1" ht="15" hidden="1"/>
    <row r="67" s="76" customFormat="1" ht="15" hidden="1"/>
    <row r="68" s="76" customFormat="1" ht="15" hidden="1"/>
    <row r="69" s="76" customFormat="1" ht="15" hidden="1"/>
    <row r="70" spans="1:7" s="76" customFormat="1" ht="18.75" hidden="1">
      <c r="A70" s="477" t="s">
        <v>408</v>
      </c>
      <c r="B70" s="477"/>
      <c r="C70" s="477"/>
      <c r="D70" s="477"/>
      <c r="E70" s="477"/>
      <c r="F70" s="477"/>
      <c r="G70" s="477"/>
    </row>
    <row r="71" s="76" customFormat="1" ht="18.75" hidden="1">
      <c r="A71" s="92"/>
    </row>
    <row r="72" s="76" customFormat="1" ht="18.75" hidden="1">
      <c r="A72" s="91"/>
    </row>
    <row r="73" spans="1:7" s="76" customFormat="1" ht="18.75" hidden="1">
      <c r="A73" s="476" t="s">
        <v>405</v>
      </c>
      <c r="B73" s="476"/>
      <c r="C73" s="476"/>
      <c r="D73" s="476"/>
      <c r="E73" s="476"/>
      <c r="F73" s="476"/>
      <c r="G73" s="476"/>
    </row>
    <row r="74" spans="1:7" s="76" customFormat="1" ht="18.75" hidden="1">
      <c r="A74" s="476" t="s">
        <v>406</v>
      </c>
      <c r="B74" s="476"/>
      <c r="C74" s="476"/>
      <c r="D74" s="476"/>
      <c r="E74" s="476"/>
      <c r="F74" s="476"/>
      <c r="G74" s="476"/>
    </row>
    <row r="75" s="76" customFormat="1" ht="18.75" hidden="1">
      <c r="A75" s="91"/>
    </row>
    <row r="76" spans="1:5" s="76" customFormat="1" ht="141.75" customHeight="1" hidden="1" thickBot="1">
      <c r="A76" s="78" t="s">
        <v>0</v>
      </c>
      <c r="B76" s="162" t="s">
        <v>141</v>
      </c>
      <c r="C76" s="162" t="s">
        <v>162</v>
      </c>
      <c r="D76" s="162" t="s">
        <v>163</v>
      </c>
      <c r="E76" s="162" t="s">
        <v>164</v>
      </c>
    </row>
    <row r="77" spans="1:5" s="76" customFormat="1" ht="19.5" hidden="1" thickBot="1">
      <c r="A77" s="157">
        <v>1</v>
      </c>
      <c r="B77" s="58">
        <v>2</v>
      </c>
      <c r="C77" s="58">
        <v>3</v>
      </c>
      <c r="D77" s="58">
        <v>4</v>
      </c>
      <c r="E77" s="58">
        <v>5</v>
      </c>
    </row>
    <row r="78" spans="1:8" s="76" customFormat="1" ht="19.5" hidden="1" thickBot="1">
      <c r="A78" s="157">
        <v>1</v>
      </c>
      <c r="B78" s="58" t="s">
        <v>407</v>
      </c>
      <c r="C78" s="93"/>
      <c r="D78" s="93"/>
      <c r="E78" s="93">
        <v>0</v>
      </c>
      <c r="H78" s="94"/>
    </row>
    <row r="79" spans="1:5" s="76" customFormat="1" ht="27" customHeight="1" hidden="1">
      <c r="A79" s="157">
        <v>2</v>
      </c>
      <c r="B79" s="58" t="s">
        <v>316</v>
      </c>
      <c r="C79" s="93"/>
      <c r="D79" s="93"/>
      <c r="E79" s="93"/>
    </row>
    <row r="80" spans="1:5" s="76" customFormat="1" ht="19.5" hidden="1" thickBot="1">
      <c r="A80" s="157"/>
      <c r="B80" s="81" t="s">
        <v>139</v>
      </c>
      <c r="C80" s="84"/>
      <c r="D80" s="84" t="s">
        <v>140</v>
      </c>
      <c r="E80" s="84">
        <f>E79+E78</f>
        <v>0</v>
      </c>
    </row>
    <row r="81" s="76" customFormat="1" ht="15" hidden="1"/>
    <row r="82" spans="1:9" s="76" customFormat="1" ht="18.75" hidden="1">
      <c r="A82" s="477" t="s">
        <v>363</v>
      </c>
      <c r="B82" s="477"/>
      <c r="C82" s="477"/>
      <c r="D82" s="477"/>
      <c r="E82" s="477"/>
      <c r="F82" s="477"/>
      <c r="G82" s="477"/>
      <c r="H82" s="477"/>
      <c r="I82" s="477"/>
    </row>
    <row r="83" s="76" customFormat="1" ht="18.75" hidden="1">
      <c r="A83" s="92"/>
    </row>
    <row r="84" s="76" customFormat="1" ht="18.75" hidden="1">
      <c r="A84" s="95" t="s">
        <v>318</v>
      </c>
    </row>
    <row r="85" spans="1:7" s="76" customFormat="1" ht="18.75" hidden="1">
      <c r="A85" s="163" t="s">
        <v>364</v>
      </c>
      <c r="B85" s="163"/>
      <c r="C85" s="163"/>
      <c r="D85" s="163"/>
      <c r="E85" s="163"/>
      <c r="F85" s="163"/>
      <c r="G85" s="163"/>
    </row>
    <row r="86" s="76" customFormat="1" ht="18.75" hidden="1">
      <c r="A86" s="95"/>
    </row>
    <row r="87" spans="1:6" s="76" customFormat="1" ht="18.75" hidden="1">
      <c r="A87" s="477" t="s">
        <v>365</v>
      </c>
      <c r="B87" s="477"/>
      <c r="C87" s="477"/>
      <c r="D87" s="477"/>
      <c r="E87" s="477"/>
      <c r="F87" s="477"/>
    </row>
    <row r="88" s="76" customFormat="1" ht="15" hidden="1"/>
    <row r="89" spans="1:6" s="76" customFormat="1" ht="57" hidden="1" thickBot="1">
      <c r="A89" s="78" t="s">
        <v>0</v>
      </c>
      <c r="B89" s="162" t="s">
        <v>141</v>
      </c>
      <c r="C89" s="162" t="s">
        <v>165</v>
      </c>
      <c r="D89" s="162" t="s">
        <v>166</v>
      </c>
      <c r="E89" s="162" t="s">
        <v>167</v>
      </c>
      <c r="F89" s="162" t="s">
        <v>145</v>
      </c>
    </row>
    <row r="90" spans="1:6" s="76" customFormat="1" ht="19.5" hidden="1" thickBot="1">
      <c r="A90" s="157">
        <v>1</v>
      </c>
      <c r="B90" s="58">
        <v>2</v>
      </c>
      <c r="C90" s="58">
        <v>3</v>
      </c>
      <c r="D90" s="58">
        <v>4</v>
      </c>
      <c r="E90" s="58">
        <v>5</v>
      </c>
      <c r="F90" s="58">
        <v>6</v>
      </c>
    </row>
    <row r="91" spans="1:6" s="76" customFormat="1" ht="38.25" hidden="1" thickBot="1">
      <c r="A91" s="157">
        <v>1</v>
      </c>
      <c r="B91" s="58" t="s">
        <v>320</v>
      </c>
      <c r="C91" s="58"/>
      <c r="D91" s="58"/>
      <c r="E91" s="93"/>
      <c r="F91" s="93">
        <f>C91*D91*E91</f>
        <v>0</v>
      </c>
    </row>
    <row r="92" spans="1:6" s="76" customFormat="1" ht="19.5" hidden="1" thickBot="1">
      <c r="A92" s="157"/>
      <c r="B92" s="81" t="s">
        <v>139</v>
      </c>
      <c r="C92" s="82" t="s">
        <v>140</v>
      </c>
      <c r="D92" s="82" t="s">
        <v>140</v>
      </c>
      <c r="E92" s="82" t="s">
        <v>140</v>
      </c>
      <c r="F92" s="84">
        <f>F91</f>
        <v>0</v>
      </c>
    </row>
    <row r="93" s="76" customFormat="1" ht="15" hidden="1"/>
    <row r="94" spans="1:6" s="76" customFormat="1" ht="30" customHeight="1" hidden="1" thickBot="1">
      <c r="A94" s="477" t="s">
        <v>366</v>
      </c>
      <c r="B94" s="477"/>
      <c r="C94" s="477"/>
      <c r="D94" s="477"/>
      <c r="E94" s="477"/>
      <c r="F94" s="477"/>
    </row>
    <row r="95" s="76" customFormat="1" ht="15" hidden="1"/>
    <row r="96" spans="1:5" s="76" customFormat="1" ht="57" hidden="1" thickBot="1">
      <c r="A96" s="78" t="s">
        <v>0</v>
      </c>
      <c r="B96" s="162" t="s">
        <v>141</v>
      </c>
      <c r="C96" s="162" t="s">
        <v>168</v>
      </c>
      <c r="D96" s="162" t="s">
        <v>169</v>
      </c>
      <c r="E96" s="162" t="s">
        <v>170</v>
      </c>
    </row>
    <row r="97" spans="1:5" s="76" customFormat="1" ht="19.5" hidden="1" thickBot="1">
      <c r="A97" s="157">
        <v>1</v>
      </c>
      <c r="B97" s="58">
        <v>2</v>
      </c>
      <c r="C97" s="58">
        <v>3</v>
      </c>
      <c r="D97" s="58">
        <v>4</v>
      </c>
      <c r="E97" s="58">
        <v>5</v>
      </c>
    </row>
    <row r="98" spans="1:5" s="76" customFormat="1" ht="19.5" hidden="1" thickBot="1">
      <c r="A98" s="157"/>
      <c r="B98" s="58"/>
      <c r="C98" s="80">
        <v>0</v>
      </c>
      <c r="D98" s="80">
        <v>0</v>
      </c>
      <c r="E98" s="80">
        <f>C98*D98</f>
        <v>0</v>
      </c>
    </row>
    <row r="99" spans="1:5" s="76" customFormat="1" ht="19.5" hidden="1" thickBot="1">
      <c r="A99" s="157"/>
      <c r="B99" s="97" t="s">
        <v>139</v>
      </c>
      <c r="C99" s="98">
        <f>C98</f>
        <v>0</v>
      </c>
      <c r="D99" s="98">
        <f>D98</f>
        <v>0</v>
      </c>
      <c r="E99" s="98">
        <f>E98</f>
        <v>0</v>
      </c>
    </row>
    <row r="100" s="76" customFormat="1" ht="15" hidden="1"/>
    <row r="101" spans="1:6" s="76" customFormat="1" ht="18.75" hidden="1">
      <c r="A101" s="477" t="s">
        <v>367</v>
      </c>
      <c r="B101" s="477"/>
      <c r="C101" s="477"/>
      <c r="D101" s="477"/>
      <c r="E101" s="477"/>
      <c r="F101" s="477"/>
    </row>
    <row r="102" s="76" customFormat="1" ht="15" hidden="1"/>
    <row r="103" spans="1:7" s="76" customFormat="1" ht="57" hidden="1" thickBot="1">
      <c r="A103" s="78" t="s">
        <v>0</v>
      </c>
      <c r="B103" s="162" t="s">
        <v>1</v>
      </c>
      <c r="C103" s="162" t="s">
        <v>323</v>
      </c>
      <c r="D103" s="162" t="s">
        <v>324</v>
      </c>
      <c r="E103" s="162" t="s">
        <v>171</v>
      </c>
      <c r="F103" s="162" t="s">
        <v>172</v>
      </c>
      <c r="G103" s="162" t="s">
        <v>173</v>
      </c>
    </row>
    <row r="104" spans="1:7" s="76" customFormat="1" ht="19.5" hidden="1" thickBot="1">
      <c r="A104" s="157">
        <v>1</v>
      </c>
      <c r="B104" s="58">
        <v>2</v>
      </c>
      <c r="C104" s="58">
        <v>3</v>
      </c>
      <c r="D104" s="58">
        <v>4</v>
      </c>
      <c r="E104" s="58">
        <v>5</v>
      </c>
      <c r="F104" s="58">
        <v>6</v>
      </c>
      <c r="G104" s="58">
        <v>7</v>
      </c>
    </row>
    <row r="105" spans="1:7" s="76" customFormat="1" ht="47.25" customHeight="1" hidden="1" thickBot="1">
      <c r="A105" s="157">
        <v>1</v>
      </c>
      <c r="B105" s="157" t="s">
        <v>325</v>
      </c>
      <c r="C105" s="80" t="s">
        <v>326</v>
      </c>
      <c r="D105" s="80"/>
      <c r="E105" s="80"/>
      <c r="F105" s="58"/>
      <c r="G105" s="99"/>
    </row>
    <row r="106" spans="1:7" s="76" customFormat="1" ht="47.25" customHeight="1" hidden="1" thickBot="1">
      <c r="A106" s="157">
        <v>2</v>
      </c>
      <c r="B106" s="157" t="s">
        <v>327</v>
      </c>
      <c r="C106" s="80" t="s">
        <v>326</v>
      </c>
      <c r="D106" s="80"/>
      <c r="E106" s="80"/>
      <c r="F106" s="58"/>
      <c r="G106" s="99"/>
    </row>
    <row r="107" spans="1:7" s="76" customFormat="1" ht="47.25" customHeight="1" hidden="1" thickBot="1">
      <c r="A107" s="157">
        <v>3</v>
      </c>
      <c r="B107" s="157" t="s">
        <v>328</v>
      </c>
      <c r="C107" s="80" t="s">
        <v>329</v>
      </c>
      <c r="D107" s="80"/>
      <c r="E107" s="80"/>
      <c r="F107" s="58"/>
      <c r="G107" s="99"/>
    </row>
    <row r="108" spans="1:7" s="76" customFormat="1" ht="47.25" customHeight="1" hidden="1" thickBot="1">
      <c r="A108" s="157">
        <v>4</v>
      </c>
      <c r="B108" s="157" t="s">
        <v>330</v>
      </c>
      <c r="C108" s="80" t="s">
        <v>368</v>
      </c>
      <c r="D108" s="80"/>
      <c r="E108" s="80"/>
      <c r="F108" s="58"/>
      <c r="G108" s="99"/>
    </row>
    <row r="109" spans="1:7" s="76" customFormat="1" ht="47.25" customHeight="1" hidden="1" thickBot="1">
      <c r="A109" s="157">
        <v>5</v>
      </c>
      <c r="B109" s="157" t="s">
        <v>332</v>
      </c>
      <c r="C109" s="80" t="s">
        <v>368</v>
      </c>
      <c r="D109" s="80"/>
      <c r="E109" s="80"/>
      <c r="F109" s="58"/>
      <c r="G109" s="99"/>
    </row>
    <row r="110" spans="1:7" s="76" customFormat="1" ht="47.25" customHeight="1" hidden="1">
      <c r="A110" s="157">
        <v>6</v>
      </c>
      <c r="B110" s="157" t="s">
        <v>333</v>
      </c>
      <c r="C110" s="80" t="s">
        <v>368</v>
      </c>
      <c r="D110" s="80"/>
      <c r="E110" s="80"/>
      <c r="F110" s="58"/>
      <c r="G110" s="99"/>
    </row>
    <row r="111" spans="1:7" s="76" customFormat="1" ht="19.5" hidden="1" thickBot="1">
      <c r="A111" s="157"/>
      <c r="B111" s="81" t="s">
        <v>139</v>
      </c>
      <c r="C111" s="82" t="s">
        <v>140</v>
      </c>
      <c r="D111" s="82" t="s">
        <v>140</v>
      </c>
      <c r="E111" s="82" t="s">
        <v>140</v>
      </c>
      <c r="F111" s="82" t="s">
        <v>140</v>
      </c>
      <c r="G111" s="100">
        <f>G110+G109+G108+G107+G106+G105</f>
        <v>0</v>
      </c>
    </row>
    <row r="112" s="76" customFormat="1" ht="15" hidden="1"/>
    <row r="113" spans="1:6" s="76" customFormat="1" ht="18.75" hidden="1">
      <c r="A113" s="477" t="s">
        <v>369</v>
      </c>
      <c r="B113" s="477"/>
      <c r="C113" s="477"/>
      <c r="D113" s="477"/>
      <c r="E113" s="477"/>
      <c r="F113" s="95"/>
    </row>
    <row r="114" s="76" customFormat="1" ht="15" hidden="1"/>
    <row r="115" spans="1:5" s="76" customFormat="1" ht="57" hidden="1" thickBot="1">
      <c r="A115" s="78" t="s">
        <v>0</v>
      </c>
      <c r="B115" s="162" t="s">
        <v>1</v>
      </c>
      <c r="C115" s="162" t="s">
        <v>174</v>
      </c>
      <c r="D115" s="162" t="s">
        <v>175</v>
      </c>
      <c r="E115" s="162" t="s">
        <v>176</v>
      </c>
    </row>
    <row r="116" spans="1:5" s="76" customFormat="1" ht="19.5" hidden="1" thickBot="1">
      <c r="A116" s="157">
        <v>1</v>
      </c>
      <c r="B116" s="58">
        <v>2</v>
      </c>
      <c r="C116" s="58">
        <v>3</v>
      </c>
      <c r="D116" s="58">
        <v>4</v>
      </c>
      <c r="E116" s="58">
        <v>5</v>
      </c>
    </row>
    <row r="117" spans="1:5" s="76" customFormat="1" ht="19.5" hidden="1" thickBot="1">
      <c r="A117" s="157"/>
      <c r="B117" s="58"/>
      <c r="C117" s="58"/>
      <c r="D117" s="58"/>
      <c r="E117" s="58"/>
    </row>
    <row r="118" spans="1:5" s="76" customFormat="1" ht="19.5" hidden="1" thickBot="1">
      <c r="A118" s="157"/>
      <c r="B118" s="101" t="s">
        <v>139</v>
      </c>
      <c r="C118" s="58" t="s">
        <v>140</v>
      </c>
      <c r="D118" s="58" t="s">
        <v>140</v>
      </c>
      <c r="E118" s="58" t="s">
        <v>140</v>
      </c>
    </row>
    <row r="119" s="76" customFormat="1" ht="15" hidden="1"/>
    <row r="120" spans="1:5" s="76" customFormat="1" ht="39.75" customHeight="1" hidden="1" thickBot="1">
      <c r="A120" s="475" t="s">
        <v>370</v>
      </c>
      <c r="B120" s="475"/>
      <c r="C120" s="475"/>
      <c r="D120" s="475"/>
      <c r="E120" s="475"/>
    </row>
    <row r="121" s="76" customFormat="1" ht="18.75" hidden="1">
      <c r="A121" s="91"/>
    </row>
    <row r="122" spans="1:5" s="76" customFormat="1" ht="57" hidden="1" thickBot="1">
      <c r="A122" s="78" t="s">
        <v>0</v>
      </c>
      <c r="B122" s="162" t="s">
        <v>141</v>
      </c>
      <c r="C122" s="162" t="s">
        <v>177</v>
      </c>
      <c r="D122" s="162" t="s">
        <v>178</v>
      </c>
      <c r="E122" s="162" t="s">
        <v>179</v>
      </c>
    </row>
    <row r="123" spans="1:5" s="76" customFormat="1" ht="19.5" hidden="1" thickBot="1">
      <c r="A123" s="157">
        <v>1</v>
      </c>
      <c r="B123" s="58">
        <v>2</v>
      </c>
      <c r="C123" s="58">
        <v>3</v>
      </c>
      <c r="D123" s="58">
        <v>4</v>
      </c>
      <c r="E123" s="58">
        <v>5</v>
      </c>
    </row>
    <row r="124" spans="1:5" s="76" customFormat="1" ht="19.5" hidden="1" thickBot="1">
      <c r="A124" s="157">
        <v>1</v>
      </c>
      <c r="B124" s="102" t="s">
        <v>336</v>
      </c>
      <c r="C124" s="58"/>
      <c r="D124" s="58"/>
      <c r="E124" s="93"/>
    </row>
    <row r="125" spans="1:5" s="76" customFormat="1" ht="19.5" hidden="1" thickBot="1">
      <c r="A125" s="157">
        <v>2</v>
      </c>
      <c r="B125" s="102" t="s">
        <v>337</v>
      </c>
      <c r="C125" s="58"/>
      <c r="D125" s="58"/>
      <c r="E125" s="93"/>
    </row>
    <row r="126" spans="1:5" s="76" customFormat="1" ht="19.5" hidden="1" thickBot="1">
      <c r="A126" s="157">
        <v>3</v>
      </c>
      <c r="B126" s="102" t="s">
        <v>338</v>
      </c>
      <c r="C126" s="58"/>
      <c r="D126" s="58"/>
      <c r="E126" s="93"/>
    </row>
    <row r="127" spans="1:5" s="76" customFormat="1" ht="38.25" hidden="1" thickBot="1">
      <c r="A127" s="157">
        <v>4</v>
      </c>
      <c r="B127" s="102" t="s">
        <v>339</v>
      </c>
      <c r="C127" s="58"/>
      <c r="D127" s="58"/>
      <c r="E127" s="93"/>
    </row>
    <row r="128" spans="1:5" s="76" customFormat="1" ht="24.75" customHeight="1" hidden="1" thickBot="1">
      <c r="A128" s="157">
        <v>5</v>
      </c>
      <c r="B128" s="102" t="s">
        <v>340</v>
      </c>
      <c r="C128" s="58"/>
      <c r="D128" s="58"/>
      <c r="E128" s="93"/>
    </row>
    <row r="129" spans="1:5" s="76" customFormat="1" ht="57" hidden="1" thickBot="1">
      <c r="A129" s="157">
        <v>6</v>
      </c>
      <c r="B129" s="102" t="s">
        <v>341</v>
      </c>
      <c r="C129" s="58"/>
      <c r="D129" s="58"/>
      <c r="E129" s="93"/>
    </row>
    <row r="130" spans="1:5" s="76" customFormat="1" ht="19.5" hidden="1" thickBot="1">
      <c r="A130" s="157">
        <v>7</v>
      </c>
      <c r="B130" s="102" t="s">
        <v>342</v>
      </c>
      <c r="C130" s="58"/>
      <c r="D130" s="58"/>
      <c r="E130" s="93"/>
    </row>
    <row r="131" spans="1:5" s="76" customFormat="1" ht="38.25" hidden="1" thickBot="1">
      <c r="A131" s="157">
        <v>8</v>
      </c>
      <c r="B131" s="102" t="s">
        <v>343</v>
      </c>
      <c r="C131" s="58"/>
      <c r="D131" s="58"/>
      <c r="E131" s="93"/>
    </row>
    <row r="132" spans="1:5" s="76" customFormat="1" ht="38.25" hidden="1" thickBot="1">
      <c r="A132" s="157">
        <v>9</v>
      </c>
      <c r="B132" s="102" t="s">
        <v>344</v>
      </c>
      <c r="C132" s="58"/>
      <c r="D132" s="58"/>
      <c r="E132" s="93"/>
    </row>
    <row r="133" spans="1:5" s="76" customFormat="1" ht="38.25" hidden="1" thickBot="1">
      <c r="A133" s="157">
        <v>10</v>
      </c>
      <c r="B133" s="102" t="s">
        <v>345</v>
      </c>
      <c r="C133" s="58"/>
      <c r="D133" s="58"/>
      <c r="E133" s="93"/>
    </row>
    <row r="134" spans="1:5" s="76" customFormat="1" ht="38.25" hidden="1" thickBot="1">
      <c r="A134" s="157">
        <v>11</v>
      </c>
      <c r="B134" s="102" t="s">
        <v>346</v>
      </c>
      <c r="C134" s="58"/>
      <c r="D134" s="58"/>
      <c r="E134" s="93"/>
    </row>
    <row r="135" spans="1:5" s="76" customFormat="1" ht="27" customHeight="1" hidden="1" thickBot="1">
      <c r="A135" s="157"/>
      <c r="B135" s="58"/>
      <c r="C135" s="58"/>
      <c r="D135" s="58"/>
      <c r="E135" s="93"/>
    </row>
    <row r="136" spans="1:5" s="76" customFormat="1" ht="19.5" hidden="1" thickBot="1">
      <c r="A136" s="157"/>
      <c r="B136" s="58"/>
      <c r="C136" s="58"/>
      <c r="D136" s="58"/>
      <c r="E136" s="93"/>
    </row>
    <row r="137" spans="1:5" s="76" customFormat="1" ht="19.5" hidden="1" thickBot="1">
      <c r="A137" s="157"/>
      <c r="B137" s="81" t="s">
        <v>139</v>
      </c>
      <c r="C137" s="82" t="s">
        <v>140</v>
      </c>
      <c r="D137" s="82" t="s">
        <v>140</v>
      </c>
      <c r="E137" s="84">
        <f>SUM(E124:E136)</f>
        <v>0</v>
      </c>
    </row>
    <row r="138" s="76" customFormat="1" ht="15" hidden="1"/>
    <row r="139" spans="1:5" s="76" customFormat="1" ht="37.5" customHeight="1" hidden="1" thickBot="1">
      <c r="A139" s="475" t="s">
        <v>371</v>
      </c>
      <c r="B139" s="475"/>
      <c r="C139" s="475"/>
      <c r="D139" s="475"/>
      <c r="E139" s="475"/>
    </row>
    <row r="140" s="76" customFormat="1" ht="18.75" hidden="1">
      <c r="A140" s="91"/>
    </row>
    <row r="141" spans="1:4" s="76" customFormat="1" ht="38.25" hidden="1" thickBot="1">
      <c r="A141" s="78" t="s">
        <v>0</v>
      </c>
      <c r="B141" s="162" t="s">
        <v>141</v>
      </c>
      <c r="C141" s="162" t="s">
        <v>180</v>
      </c>
      <c r="D141" s="162" t="s">
        <v>181</v>
      </c>
    </row>
    <row r="142" spans="1:4" s="76" customFormat="1" ht="19.5" hidden="1" thickBot="1">
      <c r="A142" s="157">
        <v>1</v>
      </c>
      <c r="B142" s="58">
        <v>2</v>
      </c>
      <c r="C142" s="58">
        <v>3</v>
      </c>
      <c r="D142" s="58">
        <v>4</v>
      </c>
    </row>
    <row r="143" spans="1:4" s="76" customFormat="1" ht="24.75" customHeight="1" hidden="1" thickBot="1">
      <c r="A143" s="157">
        <v>1</v>
      </c>
      <c r="B143" s="102" t="s">
        <v>349</v>
      </c>
      <c r="C143" s="58"/>
      <c r="D143" s="93"/>
    </row>
    <row r="144" spans="1:4" s="76" customFormat="1" ht="24.75" customHeight="1" hidden="1" thickBot="1">
      <c r="A144" s="157">
        <v>2</v>
      </c>
      <c r="B144" s="102" t="s">
        <v>372</v>
      </c>
      <c r="C144" s="58"/>
      <c r="D144" s="93"/>
    </row>
    <row r="145" spans="1:4" s="76" customFormat="1" ht="62.25" customHeight="1" hidden="1" thickBot="1">
      <c r="A145" s="157">
        <v>3</v>
      </c>
      <c r="B145" s="102" t="s">
        <v>351</v>
      </c>
      <c r="C145" s="58"/>
      <c r="D145" s="93"/>
    </row>
    <row r="146" spans="1:4" s="76" customFormat="1" ht="24.75" customHeight="1" hidden="1" thickBot="1">
      <c r="A146" s="157">
        <v>4</v>
      </c>
      <c r="B146" s="102" t="s">
        <v>352</v>
      </c>
      <c r="C146" s="58"/>
      <c r="D146" s="93"/>
    </row>
    <row r="147" spans="1:4" s="76" customFormat="1" ht="24.75" customHeight="1" hidden="1" thickBot="1">
      <c r="A147" s="157"/>
      <c r="B147" s="58"/>
      <c r="C147" s="58"/>
      <c r="D147" s="93"/>
    </row>
    <row r="148" spans="1:4" s="76" customFormat="1" ht="19.5" hidden="1" thickBot="1">
      <c r="A148" s="157"/>
      <c r="B148" s="58"/>
      <c r="C148" s="58"/>
      <c r="D148" s="93"/>
    </row>
    <row r="149" spans="1:4" s="76" customFormat="1" ht="19.5" hidden="1" thickBot="1">
      <c r="A149" s="157"/>
      <c r="B149" s="58"/>
      <c r="C149" s="58"/>
      <c r="D149" s="93"/>
    </row>
    <row r="150" spans="1:4" s="76" customFormat="1" ht="19.5" hidden="1" thickBot="1">
      <c r="A150" s="157"/>
      <c r="B150" s="81" t="s">
        <v>139</v>
      </c>
      <c r="C150" s="82" t="s">
        <v>140</v>
      </c>
      <c r="D150" s="84">
        <f>D149+D148+D147+D146+D145+D144+D143</f>
        <v>0</v>
      </c>
    </row>
    <row r="151" s="76" customFormat="1" ht="15"/>
    <row r="152" spans="1:10" s="76" customFormat="1" ht="51" customHeight="1">
      <c r="A152" s="475" t="s">
        <v>373</v>
      </c>
      <c r="B152" s="475"/>
      <c r="C152" s="475"/>
      <c r="D152" s="475"/>
      <c r="E152" s="475"/>
      <c r="F152" s="475"/>
      <c r="G152" s="475"/>
      <c r="H152" s="475"/>
      <c r="I152" s="475"/>
      <c r="J152" s="475"/>
    </row>
    <row r="153" spans="1:7" s="76" customFormat="1" ht="32.25" customHeight="1">
      <c r="A153" s="476" t="s">
        <v>318</v>
      </c>
      <c r="B153" s="476"/>
      <c r="C153" s="476"/>
      <c r="D153" s="476"/>
      <c r="E153" s="476"/>
      <c r="F153" s="476"/>
      <c r="G153" s="476"/>
    </row>
    <row r="154" spans="1:7" s="76" customFormat="1" ht="25.5" customHeight="1">
      <c r="A154" s="476" t="s">
        <v>406</v>
      </c>
      <c r="B154" s="476"/>
      <c r="C154" s="476"/>
      <c r="D154" s="476"/>
      <c r="E154" s="476"/>
      <c r="F154" s="476"/>
      <c r="G154" s="476"/>
    </row>
    <row r="155" s="76" customFormat="1" ht="15.75" thickBot="1"/>
    <row r="156" spans="1:5" s="76" customFormat="1" ht="57" thickBot="1">
      <c r="A156" s="233" t="s">
        <v>0</v>
      </c>
      <c r="B156" s="234" t="s">
        <v>141</v>
      </c>
      <c r="C156" s="234" t="s">
        <v>374</v>
      </c>
      <c r="D156" s="234" t="s">
        <v>182</v>
      </c>
      <c r="E156" s="235" t="s">
        <v>170</v>
      </c>
    </row>
    <row r="157" spans="1:5" s="76" customFormat="1" ht="18.75">
      <c r="A157" s="167">
        <v>1</v>
      </c>
      <c r="B157" s="168">
        <v>2</v>
      </c>
      <c r="C157" s="168">
        <v>3</v>
      </c>
      <c r="D157" s="168">
        <v>4</v>
      </c>
      <c r="E157" s="172">
        <v>5</v>
      </c>
    </row>
    <row r="158" spans="1:5" s="76" customFormat="1" ht="49.5" customHeight="1">
      <c r="A158" s="169">
        <v>1</v>
      </c>
      <c r="B158" s="173" t="s">
        <v>428</v>
      </c>
      <c r="C158" s="166"/>
      <c r="D158" s="261"/>
      <c r="E158" s="262">
        <f>SUM(E159:E160)</f>
        <v>4611778.690909091</v>
      </c>
    </row>
    <row r="159" spans="1:5" s="76" customFormat="1" ht="45.75" customHeight="1">
      <c r="A159" s="259" t="s">
        <v>429</v>
      </c>
      <c r="B159" s="173" t="s">
        <v>375</v>
      </c>
      <c r="C159" s="267">
        <f>18270/11*12</f>
        <v>19930.909090909092</v>
      </c>
      <c r="D159" s="261">
        <v>220.41</v>
      </c>
      <c r="E159" s="262">
        <f>C159*D159</f>
        <v>4392971.672727273</v>
      </c>
    </row>
    <row r="160" spans="1:5" s="76" customFormat="1" ht="57.75" customHeight="1" thickBot="1">
      <c r="A160" s="260" t="s">
        <v>430</v>
      </c>
      <c r="B160" s="174" t="s">
        <v>376</v>
      </c>
      <c r="C160" s="268">
        <f>1820/11*12</f>
        <v>1985.4545454545455</v>
      </c>
      <c r="D160" s="263">
        <f>D159/2</f>
        <v>110.205</v>
      </c>
      <c r="E160" s="264">
        <f>C160*D160</f>
        <v>218807.0181818182</v>
      </c>
    </row>
    <row r="161" spans="1:5" s="76" customFormat="1" ht="50.25" customHeight="1" thickBot="1">
      <c r="A161" s="473" t="s">
        <v>360</v>
      </c>
      <c r="B161" s="474"/>
      <c r="C161" s="177" t="s">
        <v>422</v>
      </c>
      <c r="D161" s="265" t="s">
        <v>422</v>
      </c>
      <c r="E161" s="266">
        <f>E158</f>
        <v>4611778.690909091</v>
      </c>
    </row>
    <row r="165" spans="1:4" s="113" customFormat="1" ht="18.75">
      <c r="A165" s="490" t="s">
        <v>420</v>
      </c>
      <c r="B165" s="490"/>
      <c r="D165" s="113" t="s">
        <v>435</v>
      </c>
    </row>
  </sheetData>
  <sheetProtection/>
  <mergeCells count="39">
    <mergeCell ref="A11:J11"/>
    <mergeCell ref="A13:J13"/>
    <mergeCell ref="A15:J15"/>
    <mergeCell ref="A16:J16"/>
    <mergeCell ref="A18:J18"/>
    <mergeCell ref="A20:A22"/>
    <mergeCell ref="B20:B22"/>
    <mergeCell ref="C20:C22"/>
    <mergeCell ref="D20:G20"/>
    <mergeCell ref="H20:H22"/>
    <mergeCell ref="I20:I22"/>
    <mergeCell ref="J20:J22"/>
    <mergeCell ref="D21:D22"/>
    <mergeCell ref="E21:G21"/>
    <mergeCell ref="A28:B28"/>
    <mergeCell ref="A31:F31"/>
    <mergeCell ref="A38:F38"/>
    <mergeCell ref="A45:E45"/>
    <mergeCell ref="A50:A51"/>
    <mergeCell ref="C50:C51"/>
    <mergeCell ref="D50:D51"/>
    <mergeCell ref="A57:F57"/>
    <mergeCell ref="A139:E139"/>
    <mergeCell ref="A152:J152"/>
    <mergeCell ref="A59:F59"/>
    <mergeCell ref="A60:F60"/>
    <mergeCell ref="A70:G70"/>
    <mergeCell ref="A73:G73"/>
    <mergeCell ref="A74:G74"/>
    <mergeCell ref="A153:G153"/>
    <mergeCell ref="A154:G154"/>
    <mergeCell ref="A165:B165"/>
    <mergeCell ref="A82:I82"/>
    <mergeCell ref="A87:F87"/>
    <mergeCell ref="A94:F94"/>
    <mergeCell ref="A101:F101"/>
    <mergeCell ref="A113:E113"/>
    <mergeCell ref="A120:E120"/>
    <mergeCell ref="A161:B161"/>
  </mergeCells>
  <printOptions/>
  <pageMargins left="0.7" right="0.7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ITsekhanskaya</cp:lastModifiedBy>
  <cp:lastPrinted>2019-06-17T00:46:21Z</cp:lastPrinted>
  <dcterms:created xsi:type="dcterms:W3CDTF">2017-01-10T09:11:14Z</dcterms:created>
  <dcterms:modified xsi:type="dcterms:W3CDTF">2019-06-17T00:47:44Z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